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104" activeTab="0"/>
  </bookViews>
  <sheets>
    <sheet name="Warrant" sheetId="1" r:id="rId1"/>
  </sheets>
  <definedNames>
    <definedName name="_xlnm.Print_Area" localSheetId="0">'Warrant'!$B$5:$H$673</definedName>
    <definedName name="_xlnm.Print_Titles" localSheetId="0">'Warrant'!$1:$4</definedName>
  </definedNames>
  <calcPr fullCalcOnLoad="1"/>
</workbook>
</file>

<file path=xl/sharedStrings.xml><?xml version="1.0" encoding="utf-8"?>
<sst xmlns="http://schemas.openxmlformats.org/spreadsheetml/2006/main" count="1035" uniqueCount="697">
  <si>
    <t>Dept. Heads</t>
  </si>
  <si>
    <t>Town Manager</t>
  </si>
  <si>
    <t>Proposed</t>
  </si>
  <si>
    <t>FY 2015</t>
  </si>
  <si>
    <t>FY 2015 %</t>
  </si>
  <si>
    <t>Current Year</t>
  </si>
  <si>
    <t>Increase/</t>
  </si>
  <si>
    <t>Account Name</t>
  </si>
  <si>
    <t>Budgeted</t>
  </si>
  <si>
    <t>Budget</t>
  </si>
  <si>
    <t>(Decrease)</t>
  </si>
  <si>
    <t>Board of Selectmen</t>
  </si>
  <si>
    <t>0100-122-5111</t>
  </si>
  <si>
    <t>Selectmens' Salaries</t>
  </si>
  <si>
    <t>Town Moderator Salary</t>
  </si>
  <si>
    <t>Total Salaries</t>
  </si>
  <si>
    <t>0100-122-5201</t>
  </si>
  <si>
    <t>Financial Audit</t>
  </si>
  <si>
    <t>Total Purchase of Services</t>
  </si>
  <si>
    <t>0100-122-5730</t>
  </si>
  <si>
    <t>Travel/Prof. Development</t>
  </si>
  <si>
    <t>Finance Reserve Fund</t>
  </si>
  <si>
    <t>Total Other Charges &amp; Expenses</t>
  </si>
  <si>
    <t>Total Board of Selectmen</t>
  </si>
  <si>
    <t>0100-123-5111</t>
  </si>
  <si>
    <t>Town Manager Salary</t>
  </si>
  <si>
    <t>0100-123-5112</t>
  </si>
  <si>
    <t>Town Manager Secretary</t>
  </si>
  <si>
    <t>0100-123-5113</t>
  </si>
  <si>
    <t>Personnel Director</t>
  </si>
  <si>
    <t>0100-123-5114</t>
  </si>
  <si>
    <t>Part-Time Secretary</t>
  </si>
  <si>
    <t>0100-123-5125</t>
  </si>
  <si>
    <t>Town Hall Custodian</t>
  </si>
  <si>
    <t>Longevity</t>
  </si>
  <si>
    <t>0100-123-5202</t>
  </si>
  <si>
    <t>Equipment Lease/Rental</t>
  </si>
  <si>
    <t>0100-123-5210</t>
  </si>
  <si>
    <t>Legal Services</t>
  </si>
  <si>
    <t>0100-123-5230</t>
  </si>
  <si>
    <t>Consulting Fee</t>
  </si>
  <si>
    <t>Special Events</t>
  </si>
  <si>
    <t>0100-123-5250</t>
  </si>
  <si>
    <t>Childrens Services</t>
  </si>
  <si>
    <t>0100-123-5270</t>
  </si>
  <si>
    <t>Telephone</t>
  </si>
  <si>
    <t>0100-123-5420</t>
  </si>
  <si>
    <t>Office Supplies</t>
  </si>
  <si>
    <t>Total Supplies</t>
  </si>
  <si>
    <t>0100-123-5730</t>
  </si>
  <si>
    <t>Fuel Assistance</t>
  </si>
  <si>
    <t>Dues &amp; Subscriptions</t>
  </si>
  <si>
    <t>Total Town Manager</t>
  </si>
  <si>
    <t>Central Services</t>
  </si>
  <si>
    <t>Equipment Repair &amp; Maint</t>
  </si>
  <si>
    <t>Computer Hardware</t>
  </si>
  <si>
    <t>Postage</t>
  </si>
  <si>
    <t>Website</t>
  </si>
  <si>
    <t>Advertising</t>
  </si>
  <si>
    <t>0100-124-5275</t>
  </si>
  <si>
    <t>Other</t>
  </si>
  <si>
    <t>0100-124-5420</t>
  </si>
  <si>
    <t>Computer Supplies</t>
  </si>
  <si>
    <t>0100-124-5810</t>
  </si>
  <si>
    <t>Capital Improvement-Computers</t>
  </si>
  <si>
    <t>Total Capital Outlay</t>
  </si>
  <si>
    <t>Total Central Services</t>
  </si>
  <si>
    <t>Finance Director</t>
  </si>
  <si>
    <t>0100-135-5111</t>
  </si>
  <si>
    <t>Finance Director Salary</t>
  </si>
  <si>
    <t>0100-135-5112</t>
  </si>
  <si>
    <t>Secretary</t>
  </si>
  <si>
    <t>0100-135-5113</t>
  </si>
  <si>
    <t>Assistant Town Accountant</t>
  </si>
  <si>
    <t>Education Incentive</t>
  </si>
  <si>
    <t>Certification Stipend</t>
  </si>
  <si>
    <t>Software Maintenance</t>
  </si>
  <si>
    <t>0100-135-5275</t>
  </si>
  <si>
    <t>Payroll Processing</t>
  </si>
  <si>
    <t>0100-135-5420</t>
  </si>
  <si>
    <t>0100-135-5730</t>
  </si>
  <si>
    <t>Dues &amp; Subscriptioins</t>
  </si>
  <si>
    <t>Total Finance Director</t>
  </si>
  <si>
    <t>Assessors' Office</t>
  </si>
  <si>
    <t>0100-141-5111</t>
  </si>
  <si>
    <t>Chief Assessor</t>
  </si>
  <si>
    <t>0100-141-5112</t>
  </si>
  <si>
    <t>Field Assessor</t>
  </si>
  <si>
    <t>0100-141-5113</t>
  </si>
  <si>
    <t>Assrs' Clerical &amp; Admin. Asst. Salary</t>
  </si>
  <si>
    <t>0100-141-5114</t>
  </si>
  <si>
    <t>Certified Assessor Stipend</t>
  </si>
  <si>
    <t>0100-141-5116</t>
  </si>
  <si>
    <t>Overtime</t>
  </si>
  <si>
    <t>Clothing</t>
  </si>
  <si>
    <t>0100-141-5117</t>
  </si>
  <si>
    <t>I.T. Stipend</t>
  </si>
  <si>
    <t>0100-141-5203</t>
  </si>
  <si>
    <t>Revaluation</t>
  </si>
  <si>
    <t>0100-141-5280</t>
  </si>
  <si>
    <t>Assessors' Maps</t>
  </si>
  <si>
    <t>0100-141-5281</t>
  </si>
  <si>
    <t>Tax Bills</t>
  </si>
  <si>
    <t>0100-141-5283</t>
  </si>
  <si>
    <t>Registry of Deeds</t>
  </si>
  <si>
    <t>0100-141-5420</t>
  </si>
  <si>
    <t>Fuel</t>
  </si>
  <si>
    <t>0100-141-5730</t>
  </si>
  <si>
    <t>Total Assessors' Office</t>
  </si>
  <si>
    <t>Treasurer's Office</t>
  </si>
  <si>
    <t>0100-145-5111</t>
  </si>
  <si>
    <t>Treasurer/Collector Salary</t>
  </si>
  <si>
    <t>0100-145-5113</t>
  </si>
  <si>
    <t>Assistant Collector</t>
  </si>
  <si>
    <t>Clerical</t>
  </si>
  <si>
    <t>0100-145-5117</t>
  </si>
  <si>
    <t>Certified Treasurer Stipend</t>
  </si>
  <si>
    <t>0100-145-5151</t>
  </si>
  <si>
    <t>0100-145-5281</t>
  </si>
  <si>
    <t>0100-145-5285</t>
  </si>
  <si>
    <t>Lock Box</t>
  </si>
  <si>
    <t>0100-145-5286</t>
  </si>
  <si>
    <t>Tax Title</t>
  </si>
  <si>
    <t>0100-145-5420</t>
  </si>
  <si>
    <t>0100-145-5730</t>
  </si>
  <si>
    <t>0100-145-5780</t>
  </si>
  <si>
    <t>Administrative Fees - Borrowing</t>
  </si>
  <si>
    <t>Total Treasurer's Office</t>
  </si>
  <si>
    <t>Planning</t>
  </si>
  <si>
    <t>Economic Dev Director</t>
  </si>
  <si>
    <t>0100-150-5111</t>
  </si>
  <si>
    <t>Town Planner</t>
  </si>
  <si>
    <t>0100-150-5112</t>
  </si>
  <si>
    <t xml:space="preserve">Assistant Planner </t>
  </si>
  <si>
    <t>0100-150-5113</t>
  </si>
  <si>
    <t>53rd Week Salaries</t>
  </si>
  <si>
    <t>Planning Board Secretary</t>
  </si>
  <si>
    <t>0100-150-5115</t>
  </si>
  <si>
    <t>Educational Bonus</t>
  </si>
  <si>
    <t xml:space="preserve">Longevity </t>
  </si>
  <si>
    <t>Consulting</t>
  </si>
  <si>
    <t>0100-150-5250</t>
  </si>
  <si>
    <t>MVPC Assessment</t>
  </si>
  <si>
    <t>0100-150-5730</t>
  </si>
  <si>
    <t>Total Planning Dept.</t>
  </si>
  <si>
    <t>Town Clerk</t>
  </si>
  <si>
    <t>0100-161-5111</t>
  </si>
  <si>
    <t>Town Clerk Salary</t>
  </si>
  <si>
    <t>0100-161-5112</t>
  </si>
  <si>
    <t>Parking Clerk</t>
  </si>
  <si>
    <t>Election/Registrar Salaries</t>
  </si>
  <si>
    <t>Stipend</t>
  </si>
  <si>
    <t>Equipment Repair &amp; Maint.</t>
  </si>
  <si>
    <t>0100-161-5251</t>
  </si>
  <si>
    <t>Parking Ticket Processing</t>
  </si>
  <si>
    <t>0100-161-5255</t>
  </si>
  <si>
    <t>Out of State Parking Tickets</t>
  </si>
  <si>
    <t>Ballots, Maint. Street List</t>
  </si>
  <si>
    <t>Bi-Law Codification</t>
  </si>
  <si>
    <t>Printing</t>
  </si>
  <si>
    <t>0100-161-5420</t>
  </si>
  <si>
    <t>0100-161-5730</t>
  </si>
  <si>
    <t>Total Town Clerk</t>
  </si>
  <si>
    <t>License Commission</t>
  </si>
  <si>
    <t>0100-165-5112</t>
  </si>
  <si>
    <t>Lic. Comm. Sec. &amp; Invest. Sal.</t>
  </si>
  <si>
    <t>Investigator Stipend</t>
  </si>
  <si>
    <t>0100-165-5420</t>
  </si>
  <si>
    <t>0100-165-5730</t>
  </si>
  <si>
    <t>Total License Commission</t>
  </si>
  <si>
    <t>Conservation Commission</t>
  </si>
  <si>
    <t>0100-171-5111</t>
  </si>
  <si>
    <t>Con. Comm. F.T. Agent</t>
  </si>
  <si>
    <t>0100-171-5112</t>
  </si>
  <si>
    <t>Conservation Comm. Sec. Salary</t>
  </si>
  <si>
    <t>Clothing Allowance</t>
  </si>
  <si>
    <t>0100-171-5420</t>
  </si>
  <si>
    <t>0100-171-5730</t>
  </si>
  <si>
    <t>Total Conservation Commission</t>
  </si>
  <si>
    <t>Police Department</t>
  </si>
  <si>
    <t>0100-210-5110</t>
  </si>
  <si>
    <t>Police Chief</t>
  </si>
  <si>
    <t>0100-210-5111</t>
  </si>
  <si>
    <t>Police Lieutenant</t>
  </si>
  <si>
    <t>Police Sergeants</t>
  </si>
  <si>
    <t>Detectives</t>
  </si>
  <si>
    <t>Inspector</t>
  </si>
  <si>
    <t>Police Investigator</t>
  </si>
  <si>
    <t>Patrolmen</t>
  </si>
  <si>
    <t>0100-210-5112</t>
  </si>
  <si>
    <t>Dispatch Supervisor/Coord</t>
  </si>
  <si>
    <t>0100-210-5113</t>
  </si>
  <si>
    <t>Police Dispatchers</t>
  </si>
  <si>
    <t>0100-210-5114</t>
  </si>
  <si>
    <t>Police Extra Duty</t>
  </si>
  <si>
    <t>0100-210-5117</t>
  </si>
  <si>
    <t>Admin Assistant</t>
  </si>
  <si>
    <t>Custodian</t>
  </si>
  <si>
    <t>0100-210-5119</t>
  </si>
  <si>
    <t>Police Overtime/Court/</t>
  </si>
  <si>
    <t>0100-210-5120</t>
  </si>
  <si>
    <t>Meter Enforcement</t>
  </si>
  <si>
    <t>0100-210-5121</t>
  </si>
  <si>
    <t>Officer in Charge</t>
  </si>
  <si>
    <t>0100-210-5122</t>
  </si>
  <si>
    <t>Education Incentive (Quinn Bill)</t>
  </si>
  <si>
    <t>0100-210-5151</t>
  </si>
  <si>
    <t>Police Sick Leave</t>
  </si>
  <si>
    <t>0100-210-5152</t>
  </si>
  <si>
    <t>Police Physical Fitness</t>
  </si>
  <si>
    <t>0100-210-5153</t>
  </si>
  <si>
    <t>Police Holiday</t>
  </si>
  <si>
    <t>0100-210-5154</t>
  </si>
  <si>
    <t>Police Longevity</t>
  </si>
  <si>
    <t>0100-210-5156</t>
  </si>
  <si>
    <t>Police Uniforms</t>
  </si>
  <si>
    <t>0100-210-5164</t>
  </si>
  <si>
    <t>Police Court Pay</t>
  </si>
  <si>
    <t>0100-210-5165</t>
  </si>
  <si>
    <t>Police Night Differential</t>
  </si>
  <si>
    <t>0100-210-5166</t>
  </si>
  <si>
    <t>Police Schooling</t>
  </si>
  <si>
    <t>Vacation Replacement</t>
  </si>
  <si>
    <t>0100-210-5210</t>
  </si>
  <si>
    <t>Electrical</t>
  </si>
  <si>
    <t>0100-210-5211</t>
  </si>
  <si>
    <t>Gas</t>
  </si>
  <si>
    <t>0100-210-5241</t>
  </si>
  <si>
    <t>Vehicle Repair &amp; Maint</t>
  </si>
  <si>
    <t>0100-210-5242</t>
  </si>
  <si>
    <t>Building Repair &amp; Maint</t>
  </si>
  <si>
    <t>Software/Maintenance</t>
  </si>
  <si>
    <t>0100-210-5286</t>
  </si>
  <si>
    <t>Office Equipment</t>
  </si>
  <si>
    <t>0100-210-5287</t>
  </si>
  <si>
    <t>Employee Training</t>
  </si>
  <si>
    <t>0100-210-5288</t>
  </si>
  <si>
    <t>Medical Equipment</t>
  </si>
  <si>
    <t>0100-210-5291</t>
  </si>
  <si>
    <t>Computer/Leaps/NCIC</t>
  </si>
  <si>
    <t>0100-210-5292</t>
  </si>
  <si>
    <t>Physical/Psychological Exams</t>
  </si>
  <si>
    <t>0100-210-5293</t>
  </si>
  <si>
    <t>Meter Purchase &amp; Repair</t>
  </si>
  <si>
    <t>0100-210-5299</t>
  </si>
  <si>
    <t>0100-210-5420</t>
  </si>
  <si>
    <t>0100-210-5430</t>
  </si>
  <si>
    <t>Building Supplies</t>
  </si>
  <si>
    <t>0100-210-5480</t>
  </si>
  <si>
    <t>0100-210-5499</t>
  </si>
  <si>
    <t>0100-210-5730</t>
  </si>
  <si>
    <t>Police Cruisers</t>
  </si>
  <si>
    <t>Total Capital Items</t>
  </si>
  <si>
    <t>Total Police Department</t>
  </si>
  <si>
    <t>Fire Department</t>
  </si>
  <si>
    <t>0100-220-5111</t>
  </si>
  <si>
    <t>Fire Chief</t>
  </si>
  <si>
    <t>0100-220-5118</t>
  </si>
  <si>
    <t>Fire Fighters/Permanent</t>
  </si>
  <si>
    <t>0100-220-5119</t>
  </si>
  <si>
    <t>Call Fire Fighters</t>
  </si>
  <si>
    <t>Call Dispatchers</t>
  </si>
  <si>
    <t>Fire Dispatcher</t>
  </si>
  <si>
    <t>0100-220-5120</t>
  </si>
  <si>
    <t>Fire Extra Duty</t>
  </si>
  <si>
    <t>0100-220-5130</t>
  </si>
  <si>
    <t>Fire Overtime</t>
  </si>
  <si>
    <t>0100-220-5151</t>
  </si>
  <si>
    <t>Fire Sick Leave</t>
  </si>
  <si>
    <t>0100-220-5153</t>
  </si>
  <si>
    <t>Fire Holiday Pay</t>
  </si>
  <si>
    <t>0100-220-5154</t>
  </si>
  <si>
    <t>Fire Longevity</t>
  </si>
  <si>
    <t>0100-220-5155</t>
  </si>
  <si>
    <t>EMT Certification</t>
  </si>
  <si>
    <t>0100-220-5156</t>
  </si>
  <si>
    <t>Fire Uniform Allowance</t>
  </si>
  <si>
    <t>0100-220-5210</t>
  </si>
  <si>
    <t>Electricity</t>
  </si>
  <si>
    <t>Natural Gas</t>
  </si>
  <si>
    <t>Heating Oil</t>
  </si>
  <si>
    <t>0100-220-5240</t>
  </si>
  <si>
    <t>Equip Repair &amp; Maintenance</t>
  </si>
  <si>
    <t>0100-220-5270</t>
  </si>
  <si>
    <t>Equip Lease/Rental</t>
  </si>
  <si>
    <t>0100-220-5287</t>
  </si>
  <si>
    <t>Training</t>
  </si>
  <si>
    <t>0100-220-5290</t>
  </si>
  <si>
    <t>Gear</t>
  </si>
  <si>
    <t>0100-220-5291</t>
  </si>
  <si>
    <t>SCBA</t>
  </si>
  <si>
    <t>0100-220-5420</t>
  </si>
  <si>
    <t>Office/Building</t>
  </si>
  <si>
    <t>0100-220-5430</t>
  </si>
  <si>
    <t>Equipment/Supplies</t>
  </si>
  <si>
    <t>0100-220-5491</t>
  </si>
  <si>
    <t>0100-220-5730</t>
  </si>
  <si>
    <t>Vehicles</t>
  </si>
  <si>
    <t>Total Fire Department</t>
  </si>
  <si>
    <t>Emergency Management</t>
  </si>
  <si>
    <t>Civil Defense Director</t>
  </si>
  <si>
    <t>Part-Time Help</t>
  </si>
  <si>
    <t>Asst. Civil Defense Director</t>
  </si>
  <si>
    <t>Reverse 911</t>
  </si>
  <si>
    <t>Equipment Supplies</t>
  </si>
  <si>
    <t>Food</t>
  </si>
  <si>
    <t>Total Capital</t>
  </si>
  <si>
    <t>Total Emergency Management</t>
  </si>
  <si>
    <t>Inspectional Services</t>
  </si>
  <si>
    <t>0100-241-5111</t>
  </si>
  <si>
    <t>Building Inspector</t>
  </si>
  <si>
    <t>0100-241-5112</t>
  </si>
  <si>
    <t>Plumbing Insector</t>
  </si>
  <si>
    <t>Dep. Plumbing Ins.</t>
  </si>
  <si>
    <t>0100-241-5113</t>
  </si>
  <si>
    <t>Gas Inspector</t>
  </si>
  <si>
    <t>Dep. Gas Inspector</t>
  </si>
  <si>
    <t>0100-241-5116</t>
  </si>
  <si>
    <t>Wire Inspector</t>
  </si>
  <si>
    <t>Dep. Wire Inspector</t>
  </si>
  <si>
    <t>Alt Bldg Insp</t>
  </si>
  <si>
    <t>Building Insp. Admin Asst</t>
  </si>
  <si>
    <t>Appeals Board Secretary Salary</t>
  </si>
  <si>
    <t>0100-241-5211</t>
  </si>
  <si>
    <t>Sealer Weights &amp; Measures</t>
  </si>
  <si>
    <t>0100-241-5250</t>
  </si>
  <si>
    <t>0100-241-5420</t>
  </si>
  <si>
    <t>0100-241-5730</t>
  </si>
  <si>
    <t>Total Building Inspector</t>
  </si>
  <si>
    <t>Dog/Animal Control Officer</t>
  </si>
  <si>
    <t>0100-292-5111</t>
  </si>
  <si>
    <t>0100-292-5112</t>
  </si>
  <si>
    <t>Animal Inspector</t>
  </si>
  <si>
    <t>0100-292-5240</t>
  </si>
  <si>
    <t>Animal Care &amp; Custody</t>
  </si>
  <si>
    <t>After Hours Call Outs</t>
  </si>
  <si>
    <t>0100-292-5480</t>
  </si>
  <si>
    <t>Supplies</t>
  </si>
  <si>
    <t>0100-292-5730</t>
  </si>
  <si>
    <t>Total Dog/Animal Control Officer</t>
  </si>
  <si>
    <t>Harbormaster</t>
  </si>
  <si>
    <t>0100-295-5111</t>
  </si>
  <si>
    <t>Harbor Master</t>
  </si>
  <si>
    <t>0100-295-5112</t>
  </si>
  <si>
    <t>Assistant Harbor Master</t>
  </si>
  <si>
    <t>0100-295-5240</t>
  </si>
  <si>
    <t>Equip Repair &amp; Maint</t>
  </si>
  <si>
    <t>0100-295-5270</t>
  </si>
  <si>
    <t>0100-295-5420</t>
  </si>
  <si>
    <t>0100-295-5480</t>
  </si>
  <si>
    <t>0100-295-5730</t>
  </si>
  <si>
    <t>Boat</t>
  </si>
  <si>
    <t>Total Harbormaster</t>
  </si>
  <si>
    <t>Clam Flats</t>
  </si>
  <si>
    <t>Constable</t>
  </si>
  <si>
    <t>Assistant Constable</t>
  </si>
  <si>
    <t>Tel/Print/Postage</t>
  </si>
  <si>
    <t>Total Clam Flats</t>
  </si>
  <si>
    <t>Education</t>
  </si>
  <si>
    <t>0100-320-5650</t>
  </si>
  <si>
    <t>Triton Assessment</t>
  </si>
  <si>
    <t>Total Triton Assessment</t>
  </si>
  <si>
    <t>Whittier Assessment</t>
  </si>
  <si>
    <t>Total Whittier Assessment</t>
  </si>
  <si>
    <t>0100-330-5650</t>
  </si>
  <si>
    <t>Essex North Shore Reg.</t>
  </si>
  <si>
    <t>Total Education</t>
  </si>
  <si>
    <t>Dept of Public Works</t>
  </si>
  <si>
    <t>Director Public Works</t>
  </si>
  <si>
    <t>Highway Personnel</t>
  </si>
  <si>
    <t>Business Manager</t>
  </si>
  <si>
    <t>Meals</t>
  </si>
  <si>
    <t>0100-413-5112</t>
  </si>
  <si>
    <t>Admin Assist</t>
  </si>
  <si>
    <t>0100-413-5131</t>
  </si>
  <si>
    <t>Stormwater</t>
  </si>
  <si>
    <t>0100-413-5133</t>
  </si>
  <si>
    <t>Highway Personnel Overtime</t>
  </si>
  <si>
    <t>0100-413-5134</t>
  </si>
  <si>
    <t>Snow Removal OT</t>
  </si>
  <si>
    <t>0100-413-5137</t>
  </si>
  <si>
    <t>Pagers</t>
  </si>
  <si>
    <t>Uniforms</t>
  </si>
  <si>
    <t>Engineering Services</t>
  </si>
  <si>
    <t>Electric</t>
  </si>
  <si>
    <t>Snow Removal</t>
  </si>
  <si>
    <t>Stormwater Management</t>
  </si>
  <si>
    <t>Parks &amp; Cemetery</t>
  </si>
  <si>
    <t>0100-413-5240</t>
  </si>
  <si>
    <t>0100-413-5252</t>
  </si>
  <si>
    <t>Emergency Repairs</t>
  </si>
  <si>
    <t>Salisbury Historical Society</t>
  </si>
  <si>
    <t>0100-413-5430</t>
  </si>
  <si>
    <t>Snow Removal Materials</t>
  </si>
  <si>
    <t>0100-413-5431</t>
  </si>
  <si>
    <t>Construction Materials</t>
  </si>
  <si>
    <t>0100-413-5432</t>
  </si>
  <si>
    <t>Parks/Cemeteries</t>
  </si>
  <si>
    <t>0100-413-5481</t>
  </si>
  <si>
    <t>Tree Maintenance/Stormwater</t>
  </si>
  <si>
    <t>0100-413-5482</t>
  </si>
  <si>
    <t>Protective Gear</t>
  </si>
  <si>
    <t>0100-412-5730</t>
  </si>
  <si>
    <t>0100-413-5850</t>
  </si>
  <si>
    <t>Equipment</t>
  </si>
  <si>
    <t>Total Public Works</t>
  </si>
  <si>
    <t>Town Landfill</t>
  </si>
  <si>
    <t>0100-434-5130</t>
  </si>
  <si>
    <t>Recycling Staff</t>
  </si>
  <si>
    <t>0100-434-5135</t>
  </si>
  <si>
    <t>Overtime Rubbish</t>
  </si>
  <si>
    <t>0100-434-5377</t>
  </si>
  <si>
    <t>Rubbish/Recycling</t>
  </si>
  <si>
    <t>Engineering</t>
  </si>
  <si>
    <t>0100-434-5379</t>
  </si>
  <si>
    <t>Total Town Landfill</t>
  </si>
  <si>
    <t>Beach Services</t>
  </si>
  <si>
    <t>Facilities Supervisor</t>
  </si>
  <si>
    <t>Facilities Attendants</t>
  </si>
  <si>
    <t>Overtime - Rubbish</t>
  </si>
  <si>
    <t>0100-481-5210</t>
  </si>
  <si>
    <t>0100-481-5240</t>
  </si>
  <si>
    <t>Building Repair &amp; Maintenance</t>
  </si>
  <si>
    <t>0100-481-5250</t>
  </si>
  <si>
    <t>Total Beach Services</t>
  </si>
  <si>
    <t>Board of Health</t>
  </si>
  <si>
    <t>0100-511-5111</t>
  </si>
  <si>
    <t>Health Agent</t>
  </si>
  <si>
    <t>0100-511-5112</t>
  </si>
  <si>
    <t>0100-511-5114</t>
  </si>
  <si>
    <t>Brd Health Secretary</t>
  </si>
  <si>
    <t>Vehicle Repairs &amp; Maintenance</t>
  </si>
  <si>
    <t>0100-511-5251</t>
  </si>
  <si>
    <t>Nursing Services</t>
  </si>
  <si>
    <t>0100-511-5252</t>
  </si>
  <si>
    <t>0100-511-5254</t>
  </si>
  <si>
    <t>0100-511-5257</t>
  </si>
  <si>
    <t>Mosquito Control</t>
  </si>
  <si>
    <t>0100-511-5420</t>
  </si>
  <si>
    <t>0100-511-5730</t>
  </si>
  <si>
    <t>Total Board of Health</t>
  </si>
  <si>
    <t>Council On Aging</t>
  </si>
  <si>
    <t>0100-541-5111</t>
  </si>
  <si>
    <t>COA Co-ordinator</t>
  </si>
  <si>
    <t>Program Manager</t>
  </si>
  <si>
    <t>0100-541-5113</t>
  </si>
  <si>
    <t>Van Driver &amp; Co-or.</t>
  </si>
  <si>
    <t>0100-541-5117</t>
  </si>
  <si>
    <t>Outreach Worker</t>
  </si>
  <si>
    <t>0100-541-5125</t>
  </si>
  <si>
    <t>Part-time Custodian</t>
  </si>
  <si>
    <t>Kitchen Manager</t>
  </si>
  <si>
    <t>0100-541-5210</t>
  </si>
  <si>
    <t>Van Maintenance</t>
  </si>
  <si>
    <t>Bldg Maintenance</t>
  </si>
  <si>
    <t>0100-541-5250</t>
  </si>
  <si>
    <t>Elder Services/Neet</t>
  </si>
  <si>
    <t>0100-541-5260</t>
  </si>
  <si>
    <t>0100-541-5299</t>
  </si>
  <si>
    <t>Programing Activities</t>
  </si>
  <si>
    <t>0100-541-5420</t>
  </si>
  <si>
    <t>0100-541-5730</t>
  </si>
  <si>
    <t>0100-541-5850</t>
  </si>
  <si>
    <t>Capital Outlay</t>
  </si>
  <si>
    <t>Total Council on Aging</t>
  </si>
  <si>
    <t>Veteran's Services</t>
  </si>
  <si>
    <t>0100-543-5111</t>
  </si>
  <si>
    <t>Veterans' Director</t>
  </si>
  <si>
    <t>0100-543-5112</t>
  </si>
  <si>
    <t>0100-543-5420</t>
  </si>
  <si>
    <t>Travel</t>
  </si>
  <si>
    <t>0100-543-5770</t>
  </si>
  <si>
    <t>Veterans' Benefits</t>
  </si>
  <si>
    <t>Total Veteran's Services</t>
  </si>
  <si>
    <t>Public Library</t>
  </si>
  <si>
    <t>0100-610-5111</t>
  </si>
  <si>
    <t>Library Director</t>
  </si>
  <si>
    <t>0100-610-5112</t>
  </si>
  <si>
    <t>Asst. Librarian</t>
  </si>
  <si>
    <t>0100-610-5113</t>
  </si>
  <si>
    <t>Children's Librarian</t>
  </si>
  <si>
    <t>0100-610-5114</t>
  </si>
  <si>
    <t>Circulation Librarian</t>
  </si>
  <si>
    <t>0100-610-5240</t>
  </si>
  <si>
    <t>0100-610-5260</t>
  </si>
  <si>
    <t>0100-610-5280</t>
  </si>
  <si>
    <t>Books/Material Ex.</t>
  </si>
  <si>
    <t>Total Purchases of Services</t>
  </si>
  <si>
    <t>0100-610-5420</t>
  </si>
  <si>
    <t>0100-610-5730</t>
  </si>
  <si>
    <t>Total Public Library</t>
  </si>
  <si>
    <t>Debt Service</t>
  </si>
  <si>
    <t>0100-710-5780</t>
  </si>
  <si>
    <t>0100-710-5781</t>
  </si>
  <si>
    <t>L-T-D Principal</t>
  </si>
  <si>
    <t>0100-710-5782</t>
  </si>
  <si>
    <t>L-T-D Interest</t>
  </si>
  <si>
    <t>L-T-D Schools</t>
  </si>
  <si>
    <t>0100-710-5784</t>
  </si>
  <si>
    <t>BAN Interest</t>
  </si>
  <si>
    <t>0100-710-5785</t>
  </si>
  <si>
    <t>Administrative Fees</t>
  </si>
  <si>
    <t>Total Debt Service</t>
  </si>
  <si>
    <t>Insurance &amp; Benefits</t>
  </si>
  <si>
    <t>0100-910-5157</t>
  </si>
  <si>
    <t>Essex County Retirement</t>
  </si>
  <si>
    <t>0100-910-5158</t>
  </si>
  <si>
    <t>Employee Sick Leave</t>
  </si>
  <si>
    <t>0100-910-5159</t>
  </si>
  <si>
    <t>FICA/Medicare</t>
  </si>
  <si>
    <t>0100-120-5111</t>
  </si>
  <si>
    <t>Personnel Salary Reserve</t>
  </si>
  <si>
    <t>0100-910-5160</t>
  </si>
  <si>
    <t>Workmens' Compensation</t>
  </si>
  <si>
    <t>0100-910-5162</t>
  </si>
  <si>
    <t>Health Insurance</t>
  </si>
  <si>
    <t>0100-910-5782</t>
  </si>
  <si>
    <t>OPEB</t>
  </si>
  <si>
    <t>0100-910-5783</t>
  </si>
  <si>
    <t>General Liability Insurance</t>
  </si>
  <si>
    <t>0100-910-5784</t>
  </si>
  <si>
    <t>Unemployment Ins.</t>
  </si>
  <si>
    <t>0100-910-5800</t>
  </si>
  <si>
    <t>Salisbury Chamber of Commerce</t>
  </si>
  <si>
    <t>Stabilization</t>
  </si>
  <si>
    <t>Transfer Out</t>
  </si>
  <si>
    <t>Total Insurance &amp; Benefits</t>
  </si>
  <si>
    <t>Total General Fund</t>
  </si>
  <si>
    <t>Non-Appropriated Expenditures</t>
  </si>
  <si>
    <t>State Assessments</t>
  </si>
  <si>
    <t>Overlay</t>
  </si>
  <si>
    <t>Cherry Sheet Offsets</t>
  </si>
  <si>
    <t>Teachers Pay Deferral</t>
  </si>
  <si>
    <t>Total Non-Appropriated Expenditures</t>
  </si>
  <si>
    <t>Total Expenditures</t>
  </si>
  <si>
    <t>Surplus/(Deficit)</t>
  </si>
  <si>
    <t>Sewer Enterprise Fund</t>
  </si>
  <si>
    <t>6000-440-5111</t>
  </si>
  <si>
    <t>Director of Public Works</t>
  </si>
  <si>
    <t>6000-440-5112</t>
  </si>
  <si>
    <t>Secretary/Billing Clerk</t>
  </si>
  <si>
    <t>6000-440-5118</t>
  </si>
  <si>
    <t>Labor,Plant Mngr., Chem.,Mech.</t>
  </si>
  <si>
    <t>6000-440-5119</t>
  </si>
  <si>
    <t>Misc.-Intern</t>
  </si>
  <si>
    <t>6000-440-5170</t>
  </si>
  <si>
    <t>Worker's Comp./Unemployment</t>
  </si>
  <si>
    <t>6000-440-5171</t>
  </si>
  <si>
    <t>Pension</t>
  </si>
  <si>
    <t>6000-440-5172</t>
  </si>
  <si>
    <t>6000-440-5173</t>
  </si>
  <si>
    <t>Laborers Overtime</t>
  </si>
  <si>
    <t>6000-440-5174</t>
  </si>
  <si>
    <t>6000-440-5175</t>
  </si>
  <si>
    <t>General Government</t>
  </si>
  <si>
    <t>6000-440-5201</t>
  </si>
  <si>
    <t>Audit</t>
  </si>
  <si>
    <t>6000-440-5202</t>
  </si>
  <si>
    <t>Legal</t>
  </si>
  <si>
    <t>Consultants</t>
  </si>
  <si>
    <t>6000-440-5211</t>
  </si>
  <si>
    <t>6000-440-5212</t>
  </si>
  <si>
    <t>6000-440-5213</t>
  </si>
  <si>
    <t>6000-440-5215</t>
  </si>
  <si>
    <t>6000-440-5240</t>
  </si>
  <si>
    <t>6000-440-5270</t>
  </si>
  <si>
    <t>Equip Rental/Leases</t>
  </si>
  <si>
    <t>6000-440-5277</t>
  </si>
  <si>
    <t>6000-440-5281</t>
  </si>
  <si>
    <t>Billing Services</t>
  </si>
  <si>
    <t>6000-440-5295</t>
  </si>
  <si>
    <t>Vehicle Repair &amp; Maint.</t>
  </si>
  <si>
    <t>Ferry Lots Upgrades</t>
  </si>
  <si>
    <t>Leak Detection/Land Survey</t>
  </si>
  <si>
    <t>Infiltration Study</t>
  </si>
  <si>
    <t>Land Survey</t>
  </si>
  <si>
    <t>Pumpstation VFD</t>
  </si>
  <si>
    <t>6000-440-5299</t>
  </si>
  <si>
    <t>Emergency Services</t>
  </si>
  <si>
    <t>6000-440-5420</t>
  </si>
  <si>
    <t>6000-440-5430</t>
  </si>
  <si>
    <t>Chemicals</t>
  </si>
  <si>
    <t>6000-440-5440</t>
  </si>
  <si>
    <t>6000-440-5445</t>
  </si>
  <si>
    <t>Vehicle &amp; Equipment Supplies</t>
  </si>
  <si>
    <t>6000-440-5450</t>
  </si>
  <si>
    <t>Building/Grounds</t>
  </si>
  <si>
    <t>6000-440-5455</t>
  </si>
  <si>
    <t>Billings</t>
  </si>
  <si>
    <t>6000-440-5456</t>
  </si>
  <si>
    <t>6000-440-5460</t>
  </si>
  <si>
    <t>6000-440-5730</t>
  </si>
  <si>
    <t>Travel/Expenses</t>
  </si>
  <si>
    <t>6000-440-5780</t>
  </si>
  <si>
    <t>Principal - Debt Service</t>
  </si>
  <si>
    <t>6000-440-5781</t>
  </si>
  <si>
    <t>INTEREST EXPS - DEBT SERVICE</t>
  </si>
  <si>
    <t>6000-440-5783</t>
  </si>
  <si>
    <t>General Government (Insurance)</t>
  </si>
  <si>
    <t>6000-440-5784</t>
  </si>
  <si>
    <t>Stabilization Fund</t>
  </si>
  <si>
    <t>6000-440-5785</t>
  </si>
  <si>
    <t>Access Fees</t>
  </si>
  <si>
    <t>Admin Fees</t>
  </si>
  <si>
    <t>6000-440-5830</t>
  </si>
  <si>
    <t>Infra Structure</t>
  </si>
  <si>
    <t>6000-440-5850</t>
  </si>
  <si>
    <t>Sludge Removal</t>
  </si>
  <si>
    <t>Sand Beds</t>
  </si>
  <si>
    <t>6000-440-5855</t>
  </si>
  <si>
    <t>Capital Expenditures</t>
  </si>
  <si>
    <t>Transfer Out to Gen Fund</t>
  </si>
  <si>
    <t>Total Sewer Enterprise Fund</t>
  </si>
  <si>
    <t>Water Enterprise</t>
  </si>
  <si>
    <t>7000-450-5111</t>
  </si>
  <si>
    <t>7000-450-5112</t>
  </si>
  <si>
    <t>Administrative</t>
  </si>
  <si>
    <t>7000-450-5119</t>
  </si>
  <si>
    <t>Part Time Summer Help</t>
  </si>
  <si>
    <t>7000-450-5170</t>
  </si>
  <si>
    <t>Worker's Compensation</t>
  </si>
  <si>
    <t>7000-450-5171</t>
  </si>
  <si>
    <t>7000-450-5172</t>
  </si>
  <si>
    <t>Fica &amp; Medicare 9%</t>
  </si>
  <si>
    <t>7000-450-5173</t>
  </si>
  <si>
    <t>7000-450-5175</t>
  </si>
  <si>
    <t>7000-450-5201</t>
  </si>
  <si>
    <t>7000-450-5202</t>
  </si>
  <si>
    <t>7000-450-5203</t>
  </si>
  <si>
    <t>Operating Contract</t>
  </si>
  <si>
    <t>7000-450-5209</t>
  </si>
  <si>
    <t>7000-450-5210</t>
  </si>
  <si>
    <t>7000-450-5214</t>
  </si>
  <si>
    <t>Water</t>
  </si>
  <si>
    <t>7000-450-5215</t>
  </si>
  <si>
    <t>7000-450-5240</t>
  </si>
  <si>
    <t>7000-450-5270</t>
  </si>
  <si>
    <t>Equip Rental &amp; Leasing</t>
  </si>
  <si>
    <t>7000-450-5277</t>
  </si>
  <si>
    <t>7000-450-5278</t>
  </si>
  <si>
    <t>Town Incr. Costs</t>
  </si>
  <si>
    <t>7000-450-5295</t>
  </si>
  <si>
    <t>Vehicle Maintenance &amp; Repair</t>
  </si>
  <si>
    <t>Rings Island - Hydrants</t>
  </si>
  <si>
    <t>7000-450-5299</t>
  </si>
  <si>
    <t>7000-450-5420</t>
  </si>
  <si>
    <t>7000-450-5430</t>
  </si>
  <si>
    <t>7000-450-5440</t>
  </si>
  <si>
    <t>7000-450-5445</t>
  </si>
  <si>
    <t>Vehicle Maintenance</t>
  </si>
  <si>
    <t>7000-450-5450</t>
  </si>
  <si>
    <t>Building &amp; Grounds Supplies</t>
  </si>
  <si>
    <t>7000-450-5455</t>
  </si>
  <si>
    <t>Materials</t>
  </si>
  <si>
    <t>7000-450-5456</t>
  </si>
  <si>
    <t>7000-450-5460</t>
  </si>
  <si>
    <t>7000-450-5670</t>
  </si>
  <si>
    <t>Travel Expense</t>
  </si>
  <si>
    <t>7000-450-5761</t>
  </si>
  <si>
    <t>R.E. Taxes-Seabrook</t>
  </si>
  <si>
    <t xml:space="preserve">Interest - Short-term Borrowing (BAN - $3M) </t>
  </si>
  <si>
    <t>Long Term Debt - Interest</t>
  </si>
  <si>
    <t>7000-450-5781</t>
  </si>
  <si>
    <t>Long Term Debt - Principal</t>
  </si>
  <si>
    <t>7000-450-5782</t>
  </si>
  <si>
    <t>7000-450-5783</t>
  </si>
  <si>
    <t>Insurance</t>
  </si>
  <si>
    <t>7000-450-5784</t>
  </si>
  <si>
    <t>7000-450-5785</t>
  </si>
  <si>
    <t>7000-450-5830</t>
  </si>
  <si>
    <t>Infrastructure</t>
  </si>
  <si>
    <t>7000-450-5850</t>
  </si>
  <si>
    <t>Maintenance &amp; Capital Expend.</t>
  </si>
  <si>
    <t>Well Analysis</t>
  </si>
  <si>
    <t>Well Development</t>
  </si>
  <si>
    <t>SCADA</t>
  </si>
  <si>
    <t>Watershed Management</t>
  </si>
  <si>
    <t>Water Main Replacements</t>
  </si>
  <si>
    <t>Large Meter Replacements</t>
  </si>
  <si>
    <t>**</t>
  </si>
  <si>
    <t>Total  Water Enterprise Fund</t>
  </si>
  <si>
    <t>Total All Funds</t>
  </si>
  <si>
    <t>Salaries</t>
  </si>
  <si>
    <t>Services &amp; Supplies</t>
  </si>
  <si>
    <t>Capital Equipment</t>
  </si>
  <si>
    <t>Public Safety</t>
  </si>
  <si>
    <t>School</t>
  </si>
  <si>
    <t>Pensions</t>
  </si>
  <si>
    <t>Energy</t>
  </si>
  <si>
    <t>Total</t>
  </si>
  <si>
    <t>Public Works</t>
  </si>
  <si>
    <t>Health &amp; Human Services</t>
  </si>
  <si>
    <t>Culture &amp; Recreation</t>
  </si>
  <si>
    <t>Pension &amp; Insurance</t>
  </si>
  <si>
    <t>Intergovernmental</t>
  </si>
  <si>
    <t>Subtotal</t>
  </si>
  <si>
    <t>Total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</si>
</sst>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000_);[Red]\(#,##0.0000\)"/>
    <numFmt numFmtId="167" formatCode="#,##0.0_);[Red]\(#,##0.0\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0" fontId="2" fillId="0" borderId="10" xfId="0" applyNumberFormat="1" applyFont="1" applyBorder="1" applyAlignment="1">
      <alignment horizontal="center"/>
    </xf>
    <xf numFmtId="40" fontId="2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38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8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38" fontId="2" fillId="33" borderId="11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38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38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38" fontId="0" fillId="0" borderId="0" xfId="0" applyNumberFormat="1" applyFill="1" applyBorder="1" applyAlignment="1">
      <alignment/>
    </xf>
    <xf numFmtId="165" fontId="0" fillId="0" borderId="0" xfId="0" applyNumberFormat="1" applyAlignment="1">
      <alignment/>
    </xf>
    <xf numFmtId="38" fontId="0" fillId="0" borderId="0" xfId="0" applyNumberFormat="1" applyFont="1" applyBorder="1" applyAlignment="1">
      <alignment/>
    </xf>
    <xf numFmtId="164" fontId="0" fillId="0" borderId="0" xfId="0" applyNumberFormat="1" applyAlignment="1">
      <alignment horizontal="center"/>
    </xf>
    <xf numFmtId="38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7" fontId="0" fillId="0" borderId="0" xfId="42" applyNumberFormat="1" applyFon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38" fontId="2" fillId="33" borderId="0" xfId="0" applyNumberFormat="1" applyFont="1" applyFill="1" applyAlignment="1">
      <alignment/>
    </xf>
    <xf numFmtId="38" fontId="2" fillId="0" borderId="0" xfId="0" applyNumberFormat="1" applyFont="1" applyBorder="1" applyAlignment="1">
      <alignment horizontal="center"/>
    </xf>
    <xf numFmtId="38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ill="1" applyAlignment="1">
      <alignment/>
    </xf>
    <xf numFmtId="38" fontId="2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0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68"/>
  <sheetViews>
    <sheetView tabSelected="1" zoomScalePageLayoutView="0" workbookViewId="0" topLeftCell="B1">
      <pane ySplit="4" topLeftCell="A620" activePane="bottomLeft" state="frozen"/>
      <selection pane="topLeft" activeCell="B1" sqref="B1"/>
      <selection pane="bottomLeft" activeCell="C666" sqref="C666:C670"/>
    </sheetView>
  </sheetViews>
  <sheetFormatPr defaultColWidth="9.140625" defaultRowHeight="12.75"/>
  <cols>
    <col min="1" max="1" width="19.8515625" style="0" hidden="1" customWidth="1"/>
    <col min="2" max="2" width="32.8515625" style="0" customWidth="1"/>
    <col min="3" max="8" width="13.7109375" style="0" customWidth="1"/>
  </cols>
  <sheetData>
    <row r="1" spans="3:7" ht="12.75">
      <c r="C1" s="1" t="s">
        <v>0</v>
      </c>
      <c r="D1" s="1" t="s">
        <v>1</v>
      </c>
      <c r="E1" s="1" t="s">
        <v>0</v>
      </c>
      <c r="F1" s="1" t="s">
        <v>1</v>
      </c>
      <c r="G1" s="2"/>
    </row>
    <row r="2" spans="3:8" ht="12.75">
      <c r="C2" s="1" t="s">
        <v>2</v>
      </c>
      <c r="D2" s="1" t="s">
        <v>2</v>
      </c>
      <c r="E2" s="1" t="s">
        <v>2</v>
      </c>
      <c r="F2" s="1" t="s">
        <v>2</v>
      </c>
      <c r="G2" s="1" t="s">
        <v>3</v>
      </c>
      <c r="H2" s="1" t="s">
        <v>4</v>
      </c>
    </row>
    <row r="3" spans="1:8" ht="12.75">
      <c r="A3" s="2"/>
      <c r="B3" s="1" t="s">
        <v>5</v>
      </c>
      <c r="C3" s="3">
        <v>2014</v>
      </c>
      <c r="D3" s="3">
        <v>2014</v>
      </c>
      <c r="E3" s="3">
        <v>2015</v>
      </c>
      <c r="F3" s="3">
        <v>2015</v>
      </c>
      <c r="G3" s="2" t="s">
        <v>6</v>
      </c>
      <c r="H3" s="2" t="s">
        <v>6</v>
      </c>
    </row>
    <row r="4" spans="1:8" ht="12.75">
      <c r="A4" s="4" t="s">
        <v>7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9</v>
      </c>
      <c r="G4" s="4" t="s">
        <v>10</v>
      </c>
      <c r="H4" s="4" t="s">
        <v>10</v>
      </c>
    </row>
    <row r="5" spans="1:2" ht="12.75">
      <c r="A5" s="3"/>
      <c r="B5" s="6"/>
    </row>
    <row r="6" spans="3:8" ht="12.75">
      <c r="C6" s="7"/>
      <c r="D6" s="7"/>
      <c r="E6" s="7"/>
      <c r="F6" s="7"/>
      <c r="G6" s="7"/>
      <c r="H6" s="7"/>
    </row>
    <row r="7" spans="2:8" ht="12.75">
      <c r="B7" s="8" t="s">
        <v>11</v>
      </c>
      <c r="C7" s="9"/>
      <c r="D7" s="9"/>
      <c r="E7" s="9"/>
      <c r="F7" s="9"/>
      <c r="G7" s="9"/>
      <c r="H7" s="9"/>
    </row>
    <row r="8" spans="1:8" ht="12.75" hidden="1">
      <c r="A8" t="s">
        <v>12</v>
      </c>
      <c r="B8" t="s">
        <v>13</v>
      </c>
      <c r="C8" s="9">
        <v>13585</v>
      </c>
      <c r="D8" s="9">
        <v>13585</v>
      </c>
      <c r="E8" s="9">
        <v>13585</v>
      </c>
      <c r="F8" s="9">
        <v>13585</v>
      </c>
      <c r="G8" s="9">
        <f>F8-D8</f>
        <v>0</v>
      </c>
      <c r="H8" s="10">
        <f>G8/D8</f>
        <v>0</v>
      </c>
    </row>
    <row r="9" spans="1:8" ht="12.75" hidden="1">
      <c r="A9" t="s">
        <v>12</v>
      </c>
      <c r="B9" t="s">
        <v>14</v>
      </c>
      <c r="C9" s="9">
        <v>200</v>
      </c>
      <c r="D9" s="9">
        <v>200</v>
      </c>
      <c r="E9" s="9">
        <v>200</v>
      </c>
      <c r="F9" s="9">
        <v>200</v>
      </c>
      <c r="G9" s="9">
        <f>F9-D9</f>
        <v>0</v>
      </c>
      <c r="H9" s="10">
        <f>G9/D9</f>
        <v>0</v>
      </c>
    </row>
    <row r="10" spans="2:8" ht="12.75">
      <c r="B10" s="8" t="s">
        <v>15</v>
      </c>
      <c r="C10" s="11">
        <f>SUM(C8:C9)</f>
        <v>13785</v>
      </c>
      <c r="D10" s="11">
        <f>SUM(D8:D9)</f>
        <v>13785</v>
      </c>
      <c r="E10" s="11">
        <f>SUM(E8:E9)</f>
        <v>13785</v>
      </c>
      <c r="F10" s="11">
        <f>SUM(F8:F9)</f>
        <v>13785</v>
      </c>
      <c r="G10" s="11">
        <f>SUM(G8:G9)</f>
        <v>0</v>
      </c>
      <c r="H10" s="12">
        <f>G10/D10</f>
        <v>0</v>
      </c>
    </row>
    <row r="11" spans="3:8" ht="12.75" hidden="1">
      <c r="C11" s="9"/>
      <c r="D11" s="9"/>
      <c r="E11" s="9"/>
      <c r="F11" s="9"/>
      <c r="G11" s="9"/>
      <c r="H11" s="10"/>
    </row>
    <row r="12" spans="1:8" ht="12.75" hidden="1">
      <c r="A12" t="s">
        <v>16</v>
      </c>
      <c r="B12" t="s">
        <v>17</v>
      </c>
      <c r="C12" s="9">
        <v>8500</v>
      </c>
      <c r="D12" s="9">
        <v>8500</v>
      </c>
      <c r="E12" s="9">
        <v>8500</v>
      </c>
      <c r="F12" s="9">
        <v>8500</v>
      </c>
      <c r="G12" s="9">
        <f>F12-D12</f>
        <v>0</v>
      </c>
      <c r="H12" s="10">
        <f>G12/D12</f>
        <v>0</v>
      </c>
    </row>
    <row r="13" spans="2:8" ht="12.75">
      <c r="B13" s="8" t="s">
        <v>18</v>
      </c>
      <c r="C13" s="11">
        <f>SUM(C12)</f>
        <v>8500</v>
      </c>
      <c r="D13" s="11">
        <f>SUM(D12)</f>
        <v>8500</v>
      </c>
      <c r="E13" s="11">
        <f>SUM(E12)</f>
        <v>8500</v>
      </c>
      <c r="F13" s="11">
        <f>SUM(F12)</f>
        <v>8500</v>
      </c>
      <c r="G13" s="11">
        <f>SUM(G12)</f>
        <v>0</v>
      </c>
      <c r="H13" s="12">
        <f>G13/D13</f>
        <v>0</v>
      </c>
    </row>
    <row r="14" spans="3:8" ht="12.75" hidden="1">
      <c r="C14" s="9"/>
      <c r="D14" s="9"/>
      <c r="E14" s="9"/>
      <c r="F14" s="9"/>
      <c r="G14" s="9"/>
      <c r="H14" s="10"/>
    </row>
    <row r="15" spans="1:8" ht="12.75" hidden="1">
      <c r="A15" t="s">
        <v>19</v>
      </c>
      <c r="B15" t="s">
        <v>20</v>
      </c>
      <c r="C15" s="9">
        <f>700+1415</f>
        <v>2115</v>
      </c>
      <c r="D15" s="9">
        <v>1000</v>
      </c>
      <c r="E15" s="9">
        <v>1000</v>
      </c>
      <c r="F15" s="9">
        <v>1000</v>
      </c>
      <c r="G15" s="9">
        <f>F15-D15</f>
        <v>0</v>
      </c>
      <c r="H15" s="10">
        <f>G15/D15</f>
        <v>0</v>
      </c>
    </row>
    <row r="16" spans="2:8" ht="12.75" hidden="1">
      <c r="B16" t="s">
        <v>21</v>
      </c>
      <c r="C16" s="9">
        <v>0</v>
      </c>
      <c r="D16" s="9">
        <v>0</v>
      </c>
      <c r="E16" s="9"/>
      <c r="F16" s="9"/>
      <c r="G16" s="9">
        <f>F16-D16</f>
        <v>0</v>
      </c>
      <c r="H16" s="10" t="e">
        <f>G16/D16</f>
        <v>#DIV/0!</v>
      </c>
    </row>
    <row r="17" spans="2:8" ht="12.75">
      <c r="B17" s="8" t="s">
        <v>22</v>
      </c>
      <c r="C17" s="11">
        <f>SUM(C15:C16)</f>
        <v>2115</v>
      </c>
      <c r="D17" s="11">
        <f>SUM(D15:D16)</f>
        <v>1000</v>
      </c>
      <c r="E17" s="11">
        <f>SUM(E15:E16)</f>
        <v>1000</v>
      </c>
      <c r="F17" s="11">
        <f>SUM(F15:F16)</f>
        <v>1000</v>
      </c>
      <c r="G17" s="11">
        <f>SUM(G15:G16)</f>
        <v>0</v>
      </c>
      <c r="H17" s="12">
        <f>G17/D17</f>
        <v>0</v>
      </c>
    </row>
    <row r="18" spans="3:8" ht="12.75" hidden="1">
      <c r="C18" s="13"/>
      <c r="D18" s="13"/>
      <c r="E18" s="13"/>
      <c r="F18" s="13"/>
      <c r="G18" s="13"/>
      <c r="H18" s="14"/>
    </row>
    <row r="19" spans="2:8" s="15" customFormat="1" ht="12.75">
      <c r="B19" s="16" t="s">
        <v>23</v>
      </c>
      <c r="C19" s="17">
        <f>SUM(C10+C13+C17)</f>
        <v>24400</v>
      </c>
      <c r="D19" s="17">
        <f>SUM(D10+D13+D17)</f>
        <v>23285</v>
      </c>
      <c r="E19" s="17">
        <f>SUM(E10+E13+E17)</f>
        <v>23285</v>
      </c>
      <c r="F19" s="17">
        <f>SUM(F10+F13+F17)</f>
        <v>23285</v>
      </c>
      <c r="G19" s="17">
        <f>SUM(G10+G13+G17)</f>
        <v>0</v>
      </c>
      <c r="H19" s="18">
        <f>G19/D19</f>
        <v>0</v>
      </c>
    </row>
    <row r="20" spans="3:7" ht="12.75">
      <c r="C20" s="7"/>
      <c r="D20" s="7"/>
      <c r="E20" s="7"/>
      <c r="F20" s="7"/>
      <c r="G20" s="13"/>
    </row>
    <row r="21" spans="2:8" ht="12.75">
      <c r="B21" s="8" t="s">
        <v>1</v>
      </c>
      <c r="C21" s="9"/>
      <c r="D21" s="9"/>
      <c r="E21" s="9"/>
      <c r="F21" s="9"/>
      <c r="G21" s="19"/>
      <c r="H21" s="19"/>
    </row>
    <row r="22" spans="1:8" ht="12.75" hidden="1">
      <c r="A22" t="s">
        <v>24</v>
      </c>
      <c r="B22" t="s">
        <v>25</v>
      </c>
      <c r="C22" s="9">
        <v>102997</v>
      </c>
      <c r="D22" s="9">
        <v>102997</v>
      </c>
      <c r="E22" s="9">
        <v>102997</v>
      </c>
      <c r="F22" s="9">
        <v>102997</v>
      </c>
      <c r="G22" s="9">
        <f aca="true" t="shared" si="0" ref="G22:G27">F22-D22</f>
        <v>0</v>
      </c>
      <c r="H22" s="10">
        <f aca="true" t="shared" si="1" ref="H22:H27">G22/D22</f>
        <v>0</v>
      </c>
    </row>
    <row r="23" spans="1:14" ht="12.75" hidden="1">
      <c r="A23" t="s">
        <v>26</v>
      </c>
      <c r="B23" t="s">
        <v>27</v>
      </c>
      <c r="C23" s="9">
        <f>19853+18000+1000</f>
        <v>38853</v>
      </c>
      <c r="D23" s="9">
        <f>19853+18000+1000</f>
        <v>38853</v>
      </c>
      <c r="E23" s="9">
        <v>45000</v>
      </c>
      <c r="F23" s="9">
        <v>45000</v>
      </c>
      <c r="G23" s="9">
        <f t="shared" si="0"/>
        <v>6147</v>
      </c>
      <c r="H23" s="10">
        <f t="shared" si="1"/>
        <v>0.15821172110261755</v>
      </c>
      <c r="M23">
        <v>1650</v>
      </c>
      <c r="N23">
        <f>M23*13</f>
        <v>21450</v>
      </c>
    </row>
    <row r="24" spans="1:14" ht="12.75" hidden="1">
      <c r="A24" t="s">
        <v>28</v>
      </c>
      <c r="B24" t="s">
        <v>29</v>
      </c>
      <c r="C24" s="9">
        <f>53723*1.035</f>
        <v>55603.30499999999</v>
      </c>
      <c r="D24" s="9">
        <v>45000</v>
      </c>
      <c r="E24" s="9">
        <f>50000*1.025</f>
        <v>51249.99999999999</v>
      </c>
      <c r="F24" s="9">
        <f>50000*1.025</f>
        <v>51249.99999999999</v>
      </c>
      <c r="G24" s="9">
        <f t="shared" si="0"/>
        <v>6249.999999999993</v>
      </c>
      <c r="H24" s="10">
        <f t="shared" si="1"/>
        <v>0.13888888888888873</v>
      </c>
      <c r="I24" t="e">
        <f>#REF!/#REF!</f>
        <v>#REF!</v>
      </c>
      <c r="M24">
        <v>1732.5</v>
      </c>
      <c r="N24">
        <f>M24*13</f>
        <v>22522.5</v>
      </c>
    </row>
    <row r="25" spans="1:8" ht="12.75" hidden="1">
      <c r="A25" t="s">
        <v>30</v>
      </c>
      <c r="B25" t="s">
        <v>31</v>
      </c>
      <c r="C25" s="9"/>
      <c r="D25" s="9"/>
      <c r="E25" s="9"/>
      <c r="F25" s="9"/>
      <c r="G25" s="9">
        <f t="shared" si="0"/>
        <v>0</v>
      </c>
      <c r="H25" s="10" t="e">
        <f t="shared" si="1"/>
        <v>#DIV/0!</v>
      </c>
    </row>
    <row r="26" spans="1:8" ht="12.75" hidden="1">
      <c r="A26" t="s">
        <v>32</v>
      </c>
      <c r="B26" t="s">
        <v>33</v>
      </c>
      <c r="C26" s="9">
        <v>16000</v>
      </c>
      <c r="D26" s="9">
        <v>16000</v>
      </c>
      <c r="E26" s="9">
        <v>16000</v>
      </c>
      <c r="F26" s="9">
        <v>14000</v>
      </c>
      <c r="G26" s="9">
        <f t="shared" si="0"/>
        <v>-2000</v>
      </c>
      <c r="H26" s="10">
        <f t="shared" si="1"/>
        <v>-0.125</v>
      </c>
    </row>
    <row r="27" spans="2:8" ht="12.75" hidden="1">
      <c r="B27" t="s">
        <v>34</v>
      </c>
      <c r="C27" s="9">
        <v>2000</v>
      </c>
      <c r="D27" s="9">
        <v>2000</v>
      </c>
      <c r="E27" s="9">
        <v>2000</v>
      </c>
      <c r="F27" s="9">
        <v>2000</v>
      </c>
      <c r="G27" s="9">
        <f t="shared" si="0"/>
        <v>0</v>
      </c>
      <c r="H27" s="10">
        <f t="shared" si="1"/>
        <v>0</v>
      </c>
    </row>
    <row r="28" spans="2:8" ht="12.75">
      <c r="B28" s="8" t="s">
        <v>15</v>
      </c>
      <c r="C28" s="11">
        <f>SUM(C22:C27)</f>
        <v>215453.305</v>
      </c>
      <c r="D28" s="11">
        <f>SUM(D22:D27)</f>
        <v>204850</v>
      </c>
      <c r="E28" s="11">
        <f>SUM(E22:E27)</f>
        <v>217247</v>
      </c>
      <c r="F28" s="11">
        <f>SUM(F22:F27)</f>
        <v>215247</v>
      </c>
      <c r="G28" s="11">
        <f>SUM(G22:G27)</f>
        <v>10396.999999999993</v>
      </c>
      <c r="H28" s="12">
        <f>G28/D28</f>
        <v>0.05075421039785205</v>
      </c>
    </row>
    <row r="29" spans="3:8" ht="12.75" hidden="1">
      <c r="C29" s="9"/>
      <c r="D29" s="9"/>
      <c r="E29" s="9"/>
      <c r="F29" s="9"/>
      <c r="G29" s="9"/>
      <c r="H29" s="10"/>
    </row>
    <row r="30" spans="1:8" ht="12.75" hidden="1">
      <c r="A30" t="s">
        <v>35</v>
      </c>
      <c r="B30" t="s">
        <v>36</v>
      </c>
      <c r="C30" s="9">
        <v>0</v>
      </c>
      <c r="D30" s="9">
        <v>0</v>
      </c>
      <c r="E30" s="9"/>
      <c r="F30" s="9"/>
      <c r="G30" s="9">
        <f aca="true" t="shared" si="2" ref="G30:G35">F30-D30</f>
        <v>0</v>
      </c>
      <c r="H30" s="10" t="e">
        <f aca="true" t="shared" si="3" ref="H30:H36">G30/D30</f>
        <v>#DIV/0!</v>
      </c>
    </row>
    <row r="31" spans="1:8" ht="12.75" hidden="1">
      <c r="A31" t="s">
        <v>37</v>
      </c>
      <c r="B31" t="s">
        <v>38</v>
      </c>
      <c r="C31" s="9">
        <v>90000</v>
      </c>
      <c r="D31" s="9">
        <v>85000</v>
      </c>
      <c r="E31" s="9">
        <v>85000</v>
      </c>
      <c r="F31" s="9">
        <v>85000</v>
      </c>
      <c r="G31" s="9">
        <f t="shared" si="2"/>
        <v>0</v>
      </c>
      <c r="H31" s="10">
        <f t="shared" si="3"/>
        <v>0</v>
      </c>
    </row>
    <row r="32" spans="1:8" ht="12.75" hidden="1">
      <c r="A32" t="s">
        <v>39</v>
      </c>
      <c r="B32" t="s">
        <v>40</v>
      </c>
      <c r="C32" s="9">
        <v>20000</v>
      </c>
      <c r="D32" s="9">
        <v>15000</v>
      </c>
      <c r="E32" s="9">
        <f>15000+6000</f>
        <v>21000</v>
      </c>
      <c r="F32" s="9">
        <f>15000+6000</f>
        <v>21000</v>
      </c>
      <c r="G32" s="9">
        <f t="shared" si="2"/>
        <v>6000</v>
      </c>
      <c r="H32" s="10">
        <f t="shared" si="3"/>
        <v>0.4</v>
      </c>
    </row>
    <row r="33" spans="2:8" ht="12.75" hidden="1">
      <c r="B33" s="20" t="s">
        <v>41</v>
      </c>
      <c r="C33" s="9"/>
      <c r="D33" s="9">
        <v>7000</v>
      </c>
      <c r="E33" s="9">
        <v>0</v>
      </c>
      <c r="F33" s="9">
        <v>0</v>
      </c>
      <c r="G33" s="9">
        <f t="shared" si="2"/>
        <v>-7000</v>
      </c>
      <c r="H33" s="10">
        <f>G33/D33</f>
        <v>-1</v>
      </c>
    </row>
    <row r="34" spans="1:8" ht="12.75" hidden="1">
      <c r="A34" t="s">
        <v>42</v>
      </c>
      <c r="B34" t="s">
        <v>43</v>
      </c>
      <c r="C34" s="9">
        <v>0</v>
      </c>
      <c r="D34" s="9">
        <v>0</v>
      </c>
      <c r="E34" s="9">
        <v>0</v>
      </c>
      <c r="F34" s="9">
        <v>10000</v>
      </c>
      <c r="G34" s="9">
        <f t="shared" si="2"/>
        <v>10000</v>
      </c>
      <c r="H34" s="10" t="e">
        <f t="shared" si="3"/>
        <v>#DIV/0!</v>
      </c>
    </row>
    <row r="35" spans="1:8" ht="12.75" hidden="1">
      <c r="A35" t="s">
        <v>44</v>
      </c>
      <c r="B35" t="s">
        <v>45</v>
      </c>
      <c r="C35" s="9">
        <v>0</v>
      </c>
      <c r="D35" s="9">
        <v>0</v>
      </c>
      <c r="E35" s="9">
        <v>0</v>
      </c>
      <c r="F35" s="9">
        <v>0</v>
      </c>
      <c r="G35" s="9">
        <f t="shared" si="2"/>
        <v>0</v>
      </c>
      <c r="H35" s="10" t="e">
        <f t="shared" si="3"/>
        <v>#DIV/0!</v>
      </c>
    </row>
    <row r="36" spans="2:8" ht="12.75">
      <c r="B36" s="8" t="s">
        <v>18</v>
      </c>
      <c r="C36" s="11">
        <f>SUM(C30:C35)</f>
        <v>110000</v>
      </c>
      <c r="D36" s="11">
        <f>SUM(D30:D35)</f>
        <v>107000</v>
      </c>
      <c r="E36" s="11">
        <f>SUM(E30:E35)</f>
        <v>106000</v>
      </c>
      <c r="F36" s="11">
        <f>SUM(F30:F35)</f>
        <v>116000</v>
      </c>
      <c r="G36" s="11">
        <f>SUM(G30:G35)</f>
        <v>9000</v>
      </c>
      <c r="H36" s="12">
        <f t="shared" si="3"/>
        <v>0.08411214953271028</v>
      </c>
    </row>
    <row r="37" spans="3:8" ht="12.75" hidden="1">
      <c r="C37" s="9"/>
      <c r="D37" s="9"/>
      <c r="E37" s="9"/>
      <c r="F37" s="9"/>
      <c r="G37" s="9"/>
      <c r="H37" s="10"/>
    </row>
    <row r="38" spans="1:8" ht="12.75" hidden="1">
      <c r="A38" t="s">
        <v>46</v>
      </c>
      <c r="B38" t="s">
        <v>47</v>
      </c>
      <c r="C38" s="9">
        <v>500</v>
      </c>
      <c r="D38" s="9">
        <v>700</v>
      </c>
      <c r="E38" s="9">
        <v>700</v>
      </c>
      <c r="F38" s="9">
        <v>700</v>
      </c>
      <c r="G38" s="9">
        <f>F38-D38</f>
        <v>0</v>
      </c>
      <c r="H38" s="10">
        <f>G38/D38</f>
        <v>0</v>
      </c>
    </row>
    <row r="39" spans="2:8" ht="12.75">
      <c r="B39" s="8" t="s">
        <v>48</v>
      </c>
      <c r="C39" s="11">
        <f>SUM(C38:C38)</f>
        <v>500</v>
      </c>
      <c r="D39" s="11">
        <f>SUM(D38:D38)</f>
        <v>700</v>
      </c>
      <c r="E39" s="11">
        <f>SUM(E38:E38)</f>
        <v>700</v>
      </c>
      <c r="F39" s="11">
        <f>SUM(F38:F38)</f>
        <v>700</v>
      </c>
      <c r="G39" s="11">
        <f>SUM(G38:G38)</f>
        <v>0</v>
      </c>
      <c r="H39" s="12">
        <f>G39/D39</f>
        <v>0</v>
      </c>
    </row>
    <row r="40" spans="3:8" ht="12.75" hidden="1">
      <c r="C40" s="9"/>
      <c r="D40" s="9"/>
      <c r="E40" s="9"/>
      <c r="F40" s="9"/>
      <c r="G40" s="9"/>
      <c r="H40" s="10"/>
    </row>
    <row r="41" spans="1:8" ht="12.75" hidden="1">
      <c r="A41" t="s">
        <v>49</v>
      </c>
      <c r="B41" t="s">
        <v>20</v>
      </c>
      <c r="C41" s="9">
        <v>5500</v>
      </c>
      <c r="D41" s="9">
        <v>5000</v>
      </c>
      <c r="E41" s="9">
        <v>5000</v>
      </c>
      <c r="F41" s="9">
        <v>5000</v>
      </c>
      <c r="G41" s="9">
        <f>F41-D41</f>
        <v>0</v>
      </c>
      <c r="H41" s="10">
        <f>G41/D41</f>
        <v>0</v>
      </c>
    </row>
    <row r="42" spans="2:8" ht="12.75" hidden="1">
      <c r="B42" s="20" t="s">
        <v>50</v>
      </c>
      <c r="C42" s="9"/>
      <c r="D42" s="9"/>
      <c r="E42" s="9"/>
      <c r="F42" s="9"/>
      <c r="G42" s="9"/>
      <c r="H42" s="10"/>
    </row>
    <row r="43" spans="2:8" ht="12.75" hidden="1">
      <c r="B43" t="s">
        <v>51</v>
      </c>
      <c r="C43" s="9">
        <v>1800</v>
      </c>
      <c r="D43" s="9">
        <v>2000</v>
      </c>
      <c r="E43" s="9">
        <v>2000</v>
      </c>
      <c r="F43" s="9">
        <v>2000</v>
      </c>
      <c r="G43" s="9">
        <f>F43-D43</f>
        <v>0</v>
      </c>
      <c r="H43" s="10">
        <f>G43/D43</f>
        <v>0</v>
      </c>
    </row>
    <row r="44" spans="2:8" ht="12.75">
      <c r="B44" s="8" t="s">
        <v>22</v>
      </c>
      <c r="C44" s="11">
        <f>SUM(C41:C43)</f>
        <v>7300</v>
      </c>
      <c r="D44" s="11">
        <f>SUM(D41:D43)</f>
        <v>7000</v>
      </c>
      <c r="E44" s="11">
        <f>SUM(E41:E43)</f>
        <v>7000</v>
      </c>
      <c r="F44" s="11">
        <f>SUM(F41:F43)</f>
        <v>7000</v>
      </c>
      <c r="G44" s="11">
        <f>SUM(G41:G43)</f>
        <v>0</v>
      </c>
      <c r="H44" s="12">
        <f>G44/D44</f>
        <v>0</v>
      </c>
    </row>
    <row r="45" spans="3:8" ht="12.75" hidden="1">
      <c r="C45" s="13"/>
      <c r="D45" s="13"/>
      <c r="E45" s="13"/>
      <c r="F45" s="13"/>
      <c r="G45" s="13"/>
      <c r="H45" s="7"/>
    </row>
    <row r="46" spans="2:32" s="15" customFormat="1" ht="12.75">
      <c r="B46" s="16" t="s">
        <v>52</v>
      </c>
      <c r="C46" s="17">
        <f>SUM(C28+C36+C39+C44)</f>
        <v>333253.305</v>
      </c>
      <c r="D46" s="17">
        <f>SUM(D28+D36+D39+D44)</f>
        <v>319550</v>
      </c>
      <c r="E46" s="17">
        <f>SUM(E28+E36+E39+E44)</f>
        <v>330947</v>
      </c>
      <c r="F46" s="17">
        <f>SUM(F28+F36+F39+F44)</f>
        <v>338947</v>
      </c>
      <c r="G46" s="17">
        <f>SUM(G28+G36+G39+G44)</f>
        <v>19396.999999999993</v>
      </c>
      <c r="H46" s="18">
        <f>G46/D46</f>
        <v>0.060700985761226706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2:32" s="15" customFormat="1" ht="12.75">
      <c r="B47" s="21"/>
      <c r="C47" s="22"/>
      <c r="D47" s="22"/>
      <c r="E47" s="22"/>
      <c r="F47" s="22"/>
      <c r="G47" s="22"/>
      <c r="H47" s="23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2:6" ht="12.75">
      <c r="B48" s="8" t="s">
        <v>53</v>
      </c>
      <c r="C48" s="13"/>
      <c r="D48" s="13"/>
      <c r="E48" s="13"/>
      <c r="F48" s="13"/>
    </row>
    <row r="49" spans="2:6" ht="12.75" hidden="1">
      <c r="B49" s="20" t="s">
        <v>54</v>
      </c>
      <c r="C49" s="13"/>
      <c r="D49" s="13"/>
      <c r="E49" s="13"/>
      <c r="F49" s="13"/>
    </row>
    <row r="50" spans="2:8" ht="12.75" hidden="1">
      <c r="B50" t="s">
        <v>36</v>
      </c>
      <c r="C50" s="13">
        <v>4500</v>
      </c>
      <c r="D50" s="13">
        <v>4500</v>
      </c>
      <c r="E50" s="13">
        <v>4500</v>
      </c>
      <c r="F50" s="13">
        <v>4500</v>
      </c>
      <c r="G50" s="9">
        <f aca="true" t="shared" si="4" ref="G50:G56">F50-D50</f>
        <v>0</v>
      </c>
      <c r="H50" s="10">
        <f aca="true" t="shared" si="5" ref="H50:H57">G50/D50</f>
        <v>0</v>
      </c>
    </row>
    <row r="51" spans="2:8" ht="12.75" hidden="1">
      <c r="B51" t="s">
        <v>55</v>
      </c>
      <c r="C51" s="9">
        <v>20000</v>
      </c>
      <c r="D51" s="9">
        <v>15000</v>
      </c>
      <c r="E51" s="9">
        <v>15000</v>
      </c>
      <c r="F51" s="9">
        <v>10000</v>
      </c>
      <c r="G51" s="9">
        <f t="shared" si="4"/>
        <v>-5000</v>
      </c>
      <c r="H51" s="10">
        <f t="shared" si="5"/>
        <v>-0.3333333333333333</v>
      </c>
    </row>
    <row r="52" spans="2:8" ht="12.75" hidden="1">
      <c r="B52" s="20" t="s">
        <v>56</v>
      </c>
      <c r="C52" s="13">
        <v>25000</v>
      </c>
      <c r="D52" s="13">
        <v>27000</v>
      </c>
      <c r="E52" s="13">
        <v>27000</v>
      </c>
      <c r="F52" s="13">
        <v>27000</v>
      </c>
      <c r="G52" s="9">
        <f t="shared" si="4"/>
        <v>0</v>
      </c>
      <c r="H52" s="10">
        <f t="shared" si="5"/>
        <v>0</v>
      </c>
    </row>
    <row r="53" spans="2:8" ht="12.75" hidden="1">
      <c r="B53" s="20" t="s">
        <v>45</v>
      </c>
      <c r="C53" s="13">
        <v>13000</v>
      </c>
      <c r="D53" s="13">
        <v>13000</v>
      </c>
      <c r="E53" s="13">
        <v>13000</v>
      </c>
      <c r="F53" s="13">
        <v>13000</v>
      </c>
      <c r="G53" s="9">
        <f t="shared" si="4"/>
        <v>0</v>
      </c>
      <c r="H53" s="10">
        <f t="shared" si="5"/>
        <v>0</v>
      </c>
    </row>
    <row r="54" spans="2:8" ht="12.75" hidden="1">
      <c r="B54" s="20" t="s">
        <v>57</v>
      </c>
      <c r="C54" s="13"/>
      <c r="D54" s="13"/>
      <c r="E54" s="13"/>
      <c r="F54" s="13">
        <v>2750</v>
      </c>
      <c r="G54" s="9"/>
      <c r="H54" s="10"/>
    </row>
    <row r="55" spans="2:8" ht="12.75" hidden="1">
      <c r="B55" s="20" t="s">
        <v>58</v>
      </c>
      <c r="C55" s="13"/>
      <c r="D55" s="13">
        <v>2000</v>
      </c>
      <c r="E55" s="13">
        <v>2000</v>
      </c>
      <c r="F55" s="13">
        <v>2000</v>
      </c>
      <c r="G55" s="9">
        <f t="shared" si="4"/>
        <v>0</v>
      </c>
      <c r="H55" s="10">
        <f>G55/D55</f>
        <v>0</v>
      </c>
    </row>
    <row r="56" spans="1:8" ht="12.75" hidden="1">
      <c r="A56" t="s">
        <v>59</v>
      </c>
      <c r="B56" s="20" t="s">
        <v>60</v>
      </c>
      <c r="C56" s="9">
        <v>9000</v>
      </c>
      <c r="D56" s="9">
        <v>9000</v>
      </c>
      <c r="E56" s="9">
        <v>11000</v>
      </c>
      <c r="F56" s="9">
        <v>9000</v>
      </c>
      <c r="G56" s="9">
        <f t="shared" si="4"/>
        <v>0</v>
      </c>
      <c r="H56" s="10">
        <f t="shared" si="5"/>
        <v>0</v>
      </c>
    </row>
    <row r="57" spans="2:8" ht="12.75">
      <c r="B57" s="8" t="s">
        <v>18</v>
      </c>
      <c r="C57" s="11">
        <f>SUM(C49:C56)</f>
        <v>71500</v>
      </c>
      <c r="D57" s="11">
        <f>SUM(D49:D56)</f>
        <v>70500</v>
      </c>
      <c r="E57" s="11">
        <f>SUM(E49:E56)</f>
        <v>72500</v>
      </c>
      <c r="F57" s="11">
        <f>SUM(F49:F56)</f>
        <v>68250</v>
      </c>
      <c r="G57" s="11">
        <f>SUM(G49:G56)</f>
        <v>-5000</v>
      </c>
      <c r="H57" s="12">
        <f t="shared" si="5"/>
        <v>-0.07092198581560284</v>
      </c>
    </row>
    <row r="58" spans="3:8" ht="12.75" hidden="1">
      <c r="C58" s="9"/>
      <c r="D58" s="9"/>
      <c r="E58" s="9"/>
      <c r="F58" s="9"/>
      <c r="G58" s="9"/>
      <c r="H58" s="10"/>
    </row>
    <row r="59" spans="1:8" ht="12.75" hidden="1">
      <c r="A59" t="s">
        <v>61</v>
      </c>
      <c r="B59" t="s">
        <v>62</v>
      </c>
      <c r="C59" s="9">
        <v>3000</v>
      </c>
      <c r="D59" s="9">
        <v>3000</v>
      </c>
      <c r="E59" s="9">
        <v>5000</v>
      </c>
      <c r="F59" s="9">
        <v>3000</v>
      </c>
      <c r="G59" s="9">
        <f>F59-D59</f>
        <v>0</v>
      </c>
      <c r="H59" s="10">
        <f>G59/D59</f>
        <v>0</v>
      </c>
    </row>
    <row r="60" spans="2:8" ht="12.75">
      <c r="B60" s="8" t="s">
        <v>48</v>
      </c>
      <c r="C60" s="11">
        <f>SUM(C59)</f>
        <v>3000</v>
      </c>
      <c r="D60" s="11">
        <f>SUM(D59)</f>
        <v>3000</v>
      </c>
      <c r="E60" s="11">
        <f>SUM(E59)</f>
        <v>5000</v>
      </c>
      <c r="F60" s="11">
        <f>SUM(F59)</f>
        <v>3000</v>
      </c>
      <c r="G60" s="11">
        <f>SUM(G59)</f>
        <v>0</v>
      </c>
      <c r="H60" s="12">
        <f>G60/D60</f>
        <v>0</v>
      </c>
    </row>
    <row r="61" spans="3:8" ht="12.75" hidden="1">
      <c r="C61" s="9"/>
      <c r="D61" s="9"/>
      <c r="E61" s="9"/>
      <c r="F61" s="9"/>
      <c r="G61" s="9"/>
      <c r="H61" s="10"/>
    </row>
    <row r="62" spans="1:8" ht="12.75" hidden="1">
      <c r="A62" t="s">
        <v>63</v>
      </c>
      <c r="B62" t="s">
        <v>64</v>
      </c>
      <c r="C62" s="9"/>
      <c r="D62" s="9"/>
      <c r="E62" s="9"/>
      <c r="F62" s="9"/>
      <c r="G62" s="9">
        <f>F62-D62</f>
        <v>0</v>
      </c>
      <c r="H62" s="10" t="e">
        <f>G62/D62</f>
        <v>#DIV/0!</v>
      </c>
    </row>
    <row r="63" spans="2:8" ht="12.75">
      <c r="B63" s="8" t="s">
        <v>65</v>
      </c>
      <c r="C63" s="11">
        <f>SUM(C62)</f>
        <v>0</v>
      </c>
      <c r="D63" s="11">
        <f>SUM(D62)</f>
        <v>0</v>
      </c>
      <c r="E63" s="11">
        <f>SUM(E62)</f>
        <v>0</v>
      </c>
      <c r="F63" s="11">
        <f>SUM(F62)</f>
        <v>0</v>
      </c>
      <c r="G63" s="11">
        <f>SUM(G62)</f>
        <v>0</v>
      </c>
      <c r="H63" s="12" t="e">
        <f>G63/D63</f>
        <v>#DIV/0!</v>
      </c>
    </row>
    <row r="64" spans="3:8" ht="12.75" hidden="1">
      <c r="C64" s="13"/>
      <c r="D64" s="13"/>
      <c r="E64" s="13"/>
      <c r="F64" s="13"/>
      <c r="G64" s="13"/>
      <c r="H64" s="14"/>
    </row>
    <row r="65" spans="2:8" s="15" customFormat="1" ht="12.75">
      <c r="B65" s="16" t="s">
        <v>66</v>
      </c>
      <c r="C65" s="17">
        <f>SUM(C63+C60+C57)</f>
        <v>74500</v>
      </c>
      <c r="D65" s="17">
        <f>SUM(D63+D60+D57)</f>
        <v>73500</v>
      </c>
      <c r="E65" s="17">
        <f>SUM(E63+E60+E57)</f>
        <v>77500</v>
      </c>
      <c r="F65" s="17">
        <f>SUM(F63+F60+F57)</f>
        <v>71250</v>
      </c>
      <c r="G65" s="17">
        <f>SUM(G63+G60+G57)</f>
        <v>-5000</v>
      </c>
      <c r="H65" s="18">
        <f>G65/D65</f>
        <v>-0.06802721088435375</v>
      </c>
    </row>
    <row r="66" spans="3:7" ht="12.75">
      <c r="C66" s="7"/>
      <c r="D66" s="7"/>
      <c r="E66" s="7"/>
      <c r="F66" s="7"/>
      <c r="G66" s="13"/>
    </row>
    <row r="67" spans="2:8" ht="12.75">
      <c r="B67" s="8" t="s">
        <v>67</v>
      </c>
      <c r="C67" s="9"/>
      <c r="D67" s="9"/>
      <c r="E67" s="9"/>
      <c r="F67" s="9"/>
      <c r="G67" s="19"/>
      <c r="H67" s="19"/>
    </row>
    <row r="68" spans="1:11" ht="12.75" hidden="1">
      <c r="A68" t="s">
        <v>68</v>
      </c>
      <c r="B68" t="s">
        <v>69</v>
      </c>
      <c r="C68" s="9">
        <v>98503</v>
      </c>
      <c r="D68" s="9">
        <v>98503</v>
      </c>
      <c r="E68" s="9">
        <f>D68*1.05575</f>
        <v>103994.54225</v>
      </c>
      <c r="F68" s="9">
        <v>103995</v>
      </c>
      <c r="G68" s="9">
        <f aca="true" t="shared" si="6" ref="G68:G73">F68-D68</f>
        <v>5492</v>
      </c>
      <c r="H68" s="10">
        <f aca="true" t="shared" si="7" ref="H68:H73">G68/D68</f>
        <v>0.0557546470665868</v>
      </c>
      <c r="J68">
        <v>1000</v>
      </c>
      <c r="K68">
        <f>J68*1.025</f>
        <v>1025</v>
      </c>
    </row>
    <row r="69" spans="1:11" ht="12.75" hidden="1">
      <c r="A69" t="s">
        <v>70</v>
      </c>
      <c r="B69" t="s">
        <v>71</v>
      </c>
      <c r="C69" s="9"/>
      <c r="D69" s="9"/>
      <c r="E69" s="9"/>
      <c r="F69" s="9"/>
      <c r="G69" s="9">
        <f t="shared" si="6"/>
        <v>0</v>
      </c>
      <c r="H69" s="10" t="e">
        <f t="shared" si="7"/>
        <v>#DIV/0!</v>
      </c>
      <c r="K69">
        <f>K68*1.03</f>
        <v>1055.75</v>
      </c>
    </row>
    <row r="70" spans="1:11" ht="12.75" hidden="1">
      <c r="A70" t="s">
        <v>72</v>
      </c>
      <c r="B70" t="s">
        <v>73</v>
      </c>
      <c r="C70" s="9">
        <v>53020</v>
      </c>
      <c r="D70" s="9">
        <v>53020</v>
      </c>
      <c r="E70" s="9">
        <v>55983</v>
      </c>
      <c r="F70" s="9">
        <v>55983</v>
      </c>
      <c r="G70" s="9">
        <f t="shared" si="6"/>
        <v>2963</v>
      </c>
      <c r="H70" s="10">
        <f t="shared" si="7"/>
        <v>0.055884571859675596</v>
      </c>
      <c r="K70">
        <f>K69/J68</f>
        <v>1.05575</v>
      </c>
    </row>
    <row r="71" spans="2:8" ht="12.75" hidden="1">
      <c r="B71" t="s">
        <v>74</v>
      </c>
      <c r="C71" s="9">
        <v>2000</v>
      </c>
      <c r="D71" s="9">
        <v>2000</v>
      </c>
      <c r="E71" s="9">
        <v>2000</v>
      </c>
      <c r="F71" s="9">
        <v>2000</v>
      </c>
      <c r="G71" s="9">
        <f t="shared" si="6"/>
        <v>0</v>
      </c>
      <c r="H71" s="10">
        <f t="shared" si="7"/>
        <v>0</v>
      </c>
    </row>
    <row r="72" spans="2:8" ht="12.75" hidden="1">
      <c r="B72" t="s">
        <v>34</v>
      </c>
      <c r="C72" s="9">
        <f>1400+1200</f>
        <v>2600</v>
      </c>
      <c r="D72" s="9">
        <f>1400+1200</f>
        <v>2600</v>
      </c>
      <c r="E72" s="9">
        <v>2800</v>
      </c>
      <c r="F72" s="9">
        <f>1600*2</f>
        <v>3200</v>
      </c>
      <c r="G72" s="9">
        <f t="shared" si="6"/>
        <v>600</v>
      </c>
      <c r="H72" s="10">
        <f t="shared" si="7"/>
        <v>0.23076923076923078</v>
      </c>
    </row>
    <row r="73" spans="2:8" ht="12.75" hidden="1">
      <c r="B73" s="20" t="s">
        <v>75</v>
      </c>
      <c r="C73" s="9">
        <v>1000</v>
      </c>
      <c r="D73" s="9">
        <v>1000</v>
      </c>
      <c r="E73" s="9">
        <v>1000</v>
      </c>
      <c r="F73" s="9">
        <v>1000</v>
      </c>
      <c r="G73" s="9">
        <f t="shared" si="6"/>
        <v>0</v>
      </c>
      <c r="H73" s="10">
        <f t="shared" si="7"/>
        <v>0</v>
      </c>
    </row>
    <row r="74" spans="2:8" ht="12.75">
      <c r="B74" s="8" t="s">
        <v>15</v>
      </c>
      <c r="C74" s="11">
        <f>SUM(C68:C73)</f>
        <v>157123</v>
      </c>
      <c r="D74" s="11">
        <f>SUM(D68:D73)</f>
        <v>157123</v>
      </c>
      <c r="E74" s="11">
        <f>SUM(E68:E73)</f>
        <v>165777.54225</v>
      </c>
      <c r="F74" s="11">
        <f>SUM(F68:F73)</f>
        <v>166178</v>
      </c>
      <c r="G74" s="11">
        <f>SUM(G68:G73)</f>
        <v>9055</v>
      </c>
      <c r="H74" s="12">
        <f>G74/D74</f>
        <v>0.0576300096103053</v>
      </c>
    </row>
    <row r="75" spans="3:8" ht="12.75" hidden="1">
      <c r="C75" s="9"/>
      <c r="D75" s="9"/>
      <c r="E75" s="9"/>
      <c r="F75" s="9"/>
      <c r="G75" s="9"/>
      <c r="H75" s="10"/>
    </row>
    <row r="76" spans="2:8" ht="12.75" hidden="1">
      <c r="B76" t="s">
        <v>76</v>
      </c>
      <c r="C76" s="9">
        <v>5000</v>
      </c>
      <c r="D76" s="9">
        <v>5000</v>
      </c>
      <c r="E76" s="9">
        <v>5000</v>
      </c>
      <c r="F76" s="9">
        <v>5000</v>
      </c>
      <c r="G76" s="9">
        <f>F76-D76</f>
        <v>0</v>
      </c>
      <c r="H76" s="10">
        <f>G76/D76</f>
        <v>0</v>
      </c>
    </row>
    <row r="77" spans="1:8" ht="12.75" hidden="1">
      <c r="A77" t="s">
        <v>77</v>
      </c>
      <c r="B77" t="s">
        <v>78</v>
      </c>
      <c r="C77" s="9">
        <v>5750</v>
      </c>
      <c r="D77" s="9">
        <v>5750</v>
      </c>
      <c r="E77" s="9">
        <v>5750</v>
      </c>
      <c r="F77" s="9">
        <v>5750</v>
      </c>
      <c r="G77" s="9">
        <f>F77-D77</f>
        <v>0</v>
      </c>
      <c r="H77" s="10">
        <f>G77/D77</f>
        <v>0</v>
      </c>
    </row>
    <row r="78" spans="2:8" ht="12.75">
      <c r="B78" s="8" t="s">
        <v>18</v>
      </c>
      <c r="C78" s="11">
        <f>SUM(C76:C77)</f>
        <v>10750</v>
      </c>
      <c r="D78" s="11">
        <f>SUM(D76:D77)</f>
        <v>10750</v>
      </c>
      <c r="E78" s="11">
        <f>SUM(E76:E77)</f>
        <v>10750</v>
      </c>
      <c r="F78" s="11">
        <f>SUM(F76:F77)</f>
        <v>10750</v>
      </c>
      <c r="G78" s="11">
        <f>SUM(G76:G77)</f>
        <v>0</v>
      </c>
      <c r="H78" s="12">
        <f>G78/D78</f>
        <v>0</v>
      </c>
    </row>
    <row r="79" spans="3:8" ht="12.75" hidden="1">
      <c r="C79" s="9"/>
      <c r="D79" s="9"/>
      <c r="E79" s="9"/>
      <c r="F79" s="9"/>
      <c r="G79" s="9"/>
      <c r="H79" s="10"/>
    </row>
    <row r="80" spans="1:8" ht="12.75" hidden="1">
      <c r="A80" t="s">
        <v>79</v>
      </c>
      <c r="B80" t="s">
        <v>47</v>
      </c>
      <c r="C80" s="9">
        <v>1000</v>
      </c>
      <c r="D80" s="9">
        <v>1000</v>
      </c>
      <c r="E80" s="9">
        <v>1000</v>
      </c>
      <c r="F80" s="9">
        <v>1000</v>
      </c>
      <c r="G80" s="9">
        <f>F80-D80</f>
        <v>0</v>
      </c>
      <c r="H80" s="10">
        <f>G80/D80</f>
        <v>0</v>
      </c>
    </row>
    <row r="81" spans="2:8" ht="12.75">
      <c r="B81" s="8" t="s">
        <v>48</v>
      </c>
      <c r="C81" s="11">
        <f>SUM(C80)</f>
        <v>1000</v>
      </c>
      <c r="D81" s="11">
        <f>SUM(D80)</f>
        <v>1000</v>
      </c>
      <c r="E81" s="11">
        <f>SUM(E80)</f>
        <v>1000</v>
      </c>
      <c r="F81" s="11">
        <f>SUM(F80)</f>
        <v>1000</v>
      </c>
      <c r="G81" s="11">
        <f>SUM(G80)</f>
        <v>0</v>
      </c>
      <c r="H81" s="12">
        <f>G81/D81</f>
        <v>0</v>
      </c>
    </row>
    <row r="82" spans="3:8" ht="12.75" hidden="1">
      <c r="C82" s="9"/>
      <c r="D82" s="9"/>
      <c r="E82" s="9"/>
      <c r="F82" s="9"/>
      <c r="G82" s="9"/>
      <c r="H82" s="10"/>
    </row>
    <row r="83" spans="1:8" ht="12.75" hidden="1">
      <c r="A83" t="s">
        <v>80</v>
      </c>
      <c r="B83" t="s">
        <v>20</v>
      </c>
      <c r="C83" s="9">
        <v>1000</v>
      </c>
      <c r="D83" s="9">
        <v>1000</v>
      </c>
      <c r="E83" s="9">
        <v>1000</v>
      </c>
      <c r="F83" s="9">
        <v>1000</v>
      </c>
      <c r="G83" s="9">
        <f>F83-D83</f>
        <v>0</v>
      </c>
      <c r="H83" s="10">
        <f>G83/D83</f>
        <v>0</v>
      </c>
    </row>
    <row r="84" spans="2:8" ht="12.75" hidden="1">
      <c r="B84" t="s">
        <v>81</v>
      </c>
      <c r="C84" s="9">
        <v>400</v>
      </c>
      <c r="D84" s="9">
        <v>400</v>
      </c>
      <c r="E84" s="9">
        <v>400</v>
      </c>
      <c r="F84" s="9">
        <v>400</v>
      </c>
      <c r="G84" s="9">
        <f>F84-D84</f>
        <v>0</v>
      </c>
      <c r="H84" s="10">
        <f>G84/D84</f>
        <v>0</v>
      </c>
    </row>
    <row r="85" spans="2:8" ht="12.75">
      <c r="B85" s="8" t="s">
        <v>22</v>
      </c>
      <c r="C85" s="11">
        <f>SUM(C83:C84)</f>
        <v>1400</v>
      </c>
      <c r="D85" s="11">
        <f>SUM(D83:D84)</f>
        <v>1400</v>
      </c>
      <c r="E85" s="11">
        <f>SUM(E83:E84)</f>
        <v>1400</v>
      </c>
      <c r="F85" s="11">
        <f>SUM(F83:F84)</f>
        <v>1400</v>
      </c>
      <c r="G85" s="11">
        <f>SUM(G83:G84)</f>
        <v>0</v>
      </c>
      <c r="H85" s="12">
        <f>G85/D85</f>
        <v>0</v>
      </c>
    </row>
    <row r="86" spans="3:8" ht="12.75" hidden="1">
      <c r="C86" s="13"/>
      <c r="D86" s="13"/>
      <c r="E86" s="13"/>
      <c r="F86" s="13"/>
      <c r="G86" s="13"/>
      <c r="H86" s="14"/>
    </row>
    <row r="87" spans="2:8" s="15" customFormat="1" ht="12.75">
      <c r="B87" s="16" t="s">
        <v>82</v>
      </c>
      <c r="C87" s="17">
        <f>SUM(C85+C81+C78+C74)</f>
        <v>170273</v>
      </c>
      <c r="D87" s="17">
        <f>SUM(D85+D81+D78+D74)</f>
        <v>170273</v>
      </c>
      <c r="E87" s="17">
        <f>SUM(E85+E81+E78+E74)</f>
        <v>178927.54225</v>
      </c>
      <c r="F87" s="17">
        <f>SUM(F85+F81+F78+F74)</f>
        <v>179328</v>
      </c>
      <c r="G87" s="17">
        <f>SUM(G85+G81+G78+G74)</f>
        <v>9055</v>
      </c>
      <c r="H87" s="18">
        <f>G87/D87</f>
        <v>0.05317930617302802</v>
      </c>
    </row>
    <row r="88" spans="2:8" s="15" customFormat="1" ht="12.75">
      <c r="B88" s="21"/>
      <c r="C88" s="22"/>
      <c r="D88" s="22"/>
      <c r="E88" s="22"/>
      <c r="F88" s="22"/>
      <c r="G88" s="22"/>
      <c r="H88" s="23"/>
    </row>
    <row r="89" spans="2:8" ht="12.75">
      <c r="B89" s="8" t="s">
        <v>83</v>
      </c>
      <c r="C89" s="9"/>
      <c r="D89" s="9"/>
      <c r="E89" s="9"/>
      <c r="F89" s="9"/>
      <c r="G89" s="19"/>
      <c r="H89" s="19"/>
    </row>
    <row r="90" spans="1:9" ht="12.75" hidden="1">
      <c r="A90" t="s">
        <v>84</v>
      </c>
      <c r="B90" t="s">
        <v>85</v>
      </c>
      <c r="C90" s="9">
        <v>80266</v>
      </c>
      <c r="D90" s="9">
        <v>80266</v>
      </c>
      <c r="E90" s="9">
        <v>82270</v>
      </c>
      <c r="F90" s="9">
        <v>84747</v>
      </c>
      <c r="G90" s="9">
        <f aca="true" t="shared" si="8" ref="G90:G98">F90-D90</f>
        <v>4481</v>
      </c>
      <c r="H90" s="10">
        <f aca="true" t="shared" si="9" ref="H90:H98">G90/D90</f>
        <v>0.05582687563850198</v>
      </c>
      <c r="I90">
        <f>D90*1.05575</f>
        <v>84740.82949999999</v>
      </c>
    </row>
    <row r="91" spans="1:8" ht="12.75" hidden="1">
      <c r="A91" t="s">
        <v>86</v>
      </c>
      <c r="B91" t="s">
        <v>87</v>
      </c>
      <c r="C91" s="9">
        <v>54411</v>
      </c>
      <c r="D91" s="9">
        <v>54411</v>
      </c>
      <c r="E91" s="9">
        <v>57457</v>
      </c>
      <c r="F91" s="9">
        <v>57457</v>
      </c>
      <c r="G91" s="9">
        <f t="shared" si="8"/>
        <v>3046</v>
      </c>
      <c r="H91" s="10">
        <f t="shared" si="9"/>
        <v>0.05598132730514051</v>
      </c>
    </row>
    <row r="92" spans="1:8" ht="12.75" hidden="1">
      <c r="A92" t="s">
        <v>88</v>
      </c>
      <c r="B92" t="s">
        <v>89</v>
      </c>
      <c r="C92" s="9">
        <v>42021</v>
      </c>
      <c r="D92" s="9">
        <v>42021</v>
      </c>
      <c r="E92" s="24">
        <f>(19.57*35*52)+(17.5*14*48)</f>
        <v>47377.4</v>
      </c>
      <c r="F92" s="9">
        <f>(19.57*35*52)+(17.5*14*48)</f>
        <v>47377.4</v>
      </c>
      <c r="G92" s="9">
        <f t="shared" si="8"/>
        <v>5356.4000000000015</v>
      </c>
      <c r="H92" s="10">
        <f t="shared" si="9"/>
        <v>0.12746959853406634</v>
      </c>
    </row>
    <row r="93" spans="1:8" ht="12.75" hidden="1">
      <c r="A93" t="s">
        <v>90</v>
      </c>
      <c r="B93" t="s">
        <v>91</v>
      </c>
      <c r="C93" s="9">
        <v>2000</v>
      </c>
      <c r="D93" s="9">
        <v>2000</v>
      </c>
      <c r="E93" s="9">
        <v>2000</v>
      </c>
      <c r="F93" s="9">
        <v>2000</v>
      </c>
      <c r="G93" s="9">
        <f t="shared" si="8"/>
        <v>0</v>
      </c>
      <c r="H93" s="10">
        <f t="shared" si="9"/>
        <v>0</v>
      </c>
    </row>
    <row r="94" spans="1:8" ht="12.75" hidden="1">
      <c r="A94" t="s">
        <v>92</v>
      </c>
      <c r="B94" t="s">
        <v>93</v>
      </c>
      <c r="C94" s="9">
        <v>1000</v>
      </c>
      <c r="D94" s="9">
        <v>0</v>
      </c>
      <c r="E94" s="9"/>
      <c r="F94" s="9"/>
      <c r="G94" s="9">
        <f t="shared" si="8"/>
        <v>0</v>
      </c>
      <c r="H94" s="10" t="e">
        <f t="shared" si="9"/>
        <v>#DIV/0!</v>
      </c>
    </row>
    <row r="95" spans="2:8" ht="12.75" hidden="1">
      <c r="B95" t="s">
        <v>74</v>
      </c>
      <c r="C95" s="9">
        <v>1000</v>
      </c>
      <c r="D95" s="9">
        <v>1000</v>
      </c>
      <c r="E95" s="9">
        <v>0</v>
      </c>
      <c r="F95" s="9">
        <v>0</v>
      </c>
      <c r="G95" s="9">
        <f t="shared" si="8"/>
        <v>-1000</v>
      </c>
      <c r="H95" s="10">
        <f t="shared" si="9"/>
        <v>-1</v>
      </c>
    </row>
    <row r="96" spans="2:8" ht="12.75" hidden="1">
      <c r="B96" t="s">
        <v>34</v>
      </c>
      <c r="C96" s="9">
        <f>1400+1700</f>
        <v>3100</v>
      </c>
      <c r="D96" s="9">
        <f>1400+1700</f>
        <v>3100</v>
      </c>
      <c r="E96" s="9">
        <v>3600</v>
      </c>
      <c r="F96" s="9">
        <v>3600</v>
      </c>
      <c r="G96" s="9">
        <f t="shared" si="8"/>
        <v>500</v>
      </c>
      <c r="H96" s="10">
        <f t="shared" si="9"/>
        <v>0.16129032258064516</v>
      </c>
    </row>
    <row r="97" spans="2:8" ht="12.75" hidden="1">
      <c r="B97" t="s">
        <v>94</v>
      </c>
      <c r="C97" s="9"/>
      <c r="D97" s="9"/>
      <c r="E97" s="9"/>
      <c r="F97" s="9">
        <v>300</v>
      </c>
      <c r="G97" s="9">
        <f>F97-D97</f>
        <v>300</v>
      </c>
      <c r="H97" s="10" t="e">
        <f>G97/D97</f>
        <v>#DIV/0!</v>
      </c>
    </row>
    <row r="98" spans="1:8" ht="12.75" hidden="1">
      <c r="A98" t="s">
        <v>95</v>
      </c>
      <c r="B98" t="s">
        <v>96</v>
      </c>
      <c r="C98" s="9">
        <v>2000</v>
      </c>
      <c r="D98" s="9">
        <v>2000</v>
      </c>
      <c r="E98" s="9">
        <v>2050</v>
      </c>
      <c r="F98" s="9">
        <v>2120</v>
      </c>
      <c r="G98" s="9">
        <f t="shared" si="8"/>
        <v>120</v>
      </c>
      <c r="H98" s="10">
        <f t="shared" si="9"/>
        <v>0.06</v>
      </c>
    </row>
    <row r="99" spans="2:8" ht="12.75">
      <c r="B99" s="8" t="s">
        <v>15</v>
      </c>
      <c r="C99" s="11">
        <f>SUM(C90:C98)</f>
        <v>185798</v>
      </c>
      <c r="D99" s="11">
        <f>SUM(D90:D98)</f>
        <v>184798</v>
      </c>
      <c r="E99" s="11">
        <f>SUM(E90:E98)</f>
        <v>194754.4</v>
      </c>
      <c r="F99" s="11">
        <f>SUM(F90:F98)</f>
        <v>197601.4</v>
      </c>
      <c r="G99" s="11">
        <f>SUM(G90:G98)</f>
        <v>12803.400000000001</v>
      </c>
      <c r="H99" s="12">
        <f>G99/D99</f>
        <v>0.06928321735083713</v>
      </c>
    </row>
    <row r="100" spans="3:8" ht="12.75" hidden="1">
      <c r="C100" s="9"/>
      <c r="D100" s="9"/>
      <c r="E100" s="9"/>
      <c r="F100" s="9"/>
      <c r="G100" s="9"/>
      <c r="H100" s="10"/>
    </row>
    <row r="101" spans="1:8" ht="12.75" hidden="1">
      <c r="A101" t="s">
        <v>97</v>
      </c>
      <c r="B101" t="s">
        <v>98</v>
      </c>
      <c r="C101" s="9">
        <v>0</v>
      </c>
      <c r="D101" s="9"/>
      <c r="E101" s="9">
        <v>45000</v>
      </c>
      <c r="F101" s="9">
        <v>0</v>
      </c>
      <c r="G101" s="9">
        <f>F101-D101</f>
        <v>0</v>
      </c>
      <c r="H101" s="10" t="e">
        <f aca="true" t="shared" si="10" ref="H101:H106">G101/D101</f>
        <v>#DIV/0!</v>
      </c>
    </row>
    <row r="102" spans="1:8" ht="12.75" hidden="1">
      <c r="A102" t="s">
        <v>99</v>
      </c>
      <c r="B102" t="s">
        <v>76</v>
      </c>
      <c r="C102" s="9">
        <f>3500+140+6625</f>
        <v>10265</v>
      </c>
      <c r="D102" s="9">
        <f>3500+140+6625</f>
        <v>10265</v>
      </c>
      <c r="E102" s="9">
        <f>3500+140+6825</f>
        <v>10465</v>
      </c>
      <c r="F102" s="9">
        <f>3500+140+6825</f>
        <v>10465</v>
      </c>
      <c r="G102" s="9">
        <f>F102-D102</f>
        <v>200</v>
      </c>
      <c r="H102" s="10">
        <f t="shared" si="10"/>
        <v>0.01948368241597662</v>
      </c>
    </row>
    <row r="103" spans="2:8" ht="12.75" hidden="1">
      <c r="B103" t="s">
        <v>100</v>
      </c>
      <c r="C103" s="9">
        <v>7500</v>
      </c>
      <c r="D103" s="9">
        <v>7500</v>
      </c>
      <c r="E103" s="9">
        <v>7500</v>
      </c>
      <c r="F103" s="9">
        <v>7500</v>
      </c>
      <c r="G103" s="9">
        <f>F103-D103</f>
        <v>0</v>
      </c>
      <c r="H103" s="10">
        <f t="shared" si="10"/>
        <v>0</v>
      </c>
    </row>
    <row r="104" spans="1:8" ht="12.75" hidden="1">
      <c r="A104" t="s">
        <v>101</v>
      </c>
      <c r="B104" t="s">
        <v>102</v>
      </c>
      <c r="C104" s="9">
        <v>10000</v>
      </c>
      <c r="D104" s="9">
        <v>10000</v>
      </c>
      <c r="E104" s="9">
        <v>10000</v>
      </c>
      <c r="F104" s="9">
        <v>10000</v>
      </c>
      <c r="G104" s="9">
        <f>F104-D104</f>
        <v>0</v>
      </c>
      <c r="H104" s="10">
        <f t="shared" si="10"/>
        <v>0</v>
      </c>
    </row>
    <row r="105" spans="1:8" ht="12.75" hidden="1">
      <c r="A105" t="s">
        <v>103</v>
      </c>
      <c r="B105" t="s">
        <v>104</v>
      </c>
      <c r="C105" s="9">
        <v>700</v>
      </c>
      <c r="D105" s="9">
        <v>700</v>
      </c>
      <c r="E105" s="9">
        <v>700</v>
      </c>
      <c r="F105" s="9">
        <v>700</v>
      </c>
      <c r="G105" s="9">
        <f>F105-D105</f>
        <v>0</v>
      </c>
      <c r="H105" s="10">
        <f t="shared" si="10"/>
        <v>0</v>
      </c>
    </row>
    <row r="106" spans="2:8" ht="12.75">
      <c r="B106" s="8" t="s">
        <v>18</v>
      </c>
      <c r="C106" s="11">
        <f>SUM(C101:C105)</f>
        <v>28465</v>
      </c>
      <c r="D106" s="11">
        <f>SUM(D101:D105)</f>
        <v>28465</v>
      </c>
      <c r="E106" s="11">
        <f>SUM(E101:E105)</f>
        <v>73665</v>
      </c>
      <c r="F106" s="11">
        <f>SUM(F101:F105)</f>
        <v>28665</v>
      </c>
      <c r="G106" s="11">
        <f>SUM(G101:G105)</f>
        <v>200</v>
      </c>
      <c r="H106" s="12">
        <f t="shared" si="10"/>
        <v>0.007026172492534692</v>
      </c>
    </row>
    <row r="107" spans="3:8" ht="12.75" hidden="1">
      <c r="C107" s="9"/>
      <c r="D107" s="9"/>
      <c r="E107" s="9"/>
      <c r="F107" s="9"/>
      <c r="G107" s="9"/>
      <c r="H107" s="10"/>
    </row>
    <row r="108" spans="1:8" ht="12.75" hidden="1">
      <c r="A108" t="s">
        <v>105</v>
      </c>
      <c r="B108" t="s">
        <v>47</v>
      </c>
      <c r="C108" s="9">
        <v>1300</v>
      </c>
      <c r="D108" s="9">
        <v>1300</v>
      </c>
      <c r="E108" s="9">
        <v>1300</v>
      </c>
      <c r="F108" s="9">
        <v>1300</v>
      </c>
      <c r="G108" s="9">
        <f>F108-D108</f>
        <v>0</v>
      </c>
      <c r="H108" s="10">
        <f>G108/D108</f>
        <v>0</v>
      </c>
    </row>
    <row r="109" spans="2:8" ht="12.75" hidden="1">
      <c r="B109" t="s">
        <v>106</v>
      </c>
      <c r="C109" s="9">
        <v>1150</v>
      </c>
      <c r="D109" s="9">
        <v>1150</v>
      </c>
      <c r="E109" s="9">
        <v>1150</v>
      </c>
      <c r="F109" s="9">
        <v>1150</v>
      </c>
      <c r="G109" s="9">
        <f>F109-D109</f>
        <v>0</v>
      </c>
      <c r="H109" s="10">
        <f>G109/D109</f>
        <v>0</v>
      </c>
    </row>
    <row r="110" spans="2:8" ht="12.75">
      <c r="B110" s="8" t="s">
        <v>48</v>
      </c>
      <c r="C110" s="11">
        <f>SUM(C108:C109)</f>
        <v>2450</v>
      </c>
      <c r="D110" s="11">
        <f>SUM(D108:D109)</f>
        <v>2450</v>
      </c>
      <c r="E110" s="11">
        <f>SUM(E108:E109)</f>
        <v>2450</v>
      </c>
      <c r="F110" s="11">
        <f>SUM(F108:F109)</f>
        <v>2450</v>
      </c>
      <c r="G110" s="11">
        <f>SUM(G108:G109)</f>
        <v>0</v>
      </c>
      <c r="H110" s="12">
        <f>G110/D110</f>
        <v>0</v>
      </c>
    </row>
    <row r="111" spans="3:8" ht="12.75" hidden="1">
      <c r="C111" s="9"/>
      <c r="D111" s="9"/>
      <c r="E111" s="9"/>
      <c r="F111" s="9"/>
      <c r="G111" s="9"/>
      <c r="H111" s="10"/>
    </row>
    <row r="112" spans="1:8" ht="12.75" hidden="1">
      <c r="A112" t="s">
        <v>107</v>
      </c>
      <c r="B112" t="s">
        <v>20</v>
      </c>
      <c r="C112" s="9">
        <v>7250</v>
      </c>
      <c r="D112" s="9">
        <v>7250</v>
      </c>
      <c r="E112" s="9">
        <f>4300+1650+650+650+400+1200</f>
        <v>8850</v>
      </c>
      <c r="F112" s="9">
        <f>4300+1650+650+650+400+1200</f>
        <v>8850</v>
      </c>
      <c r="G112" s="9">
        <f>F112-D112</f>
        <v>1600</v>
      </c>
      <c r="H112" s="10">
        <f>G112/D112</f>
        <v>0.2206896551724138</v>
      </c>
    </row>
    <row r="113" spans="2:8" ht="12.75" hidden="1">
      <c r="B113" t="s">
        <v>51</v>
      </c>
      <c r="C113" s="9">
        <v>1325</v>
      </c>
      <c r="D113" s="9">
        <v>1325</v>
      </c>
      <c r="E113" s="9">
        <v>1325</v>
      </c>
      <c r="F113" s="9">
        <v>1325</v>
      </c>
      <c r="G113" s="9">
        <f>F113-D113</f>
        <v>0</v>
      </c>
      <c r="H113" s="10">
        <f>G113/D113</f>
        <v>0</v>
      </c>
    </row>
    <row r="114" spans="2:8" ht="12.75">
      <c r="B114" s="8" t="s">
        <v>22</v>
      </c>
      <c r="C114" s="11">
        <f>SUM(C112:C113)</f>
        <v>8575</v>
      </c>
      <c r="D114" s="11">
        <f>SUM(D112:D113)</f>
        <v>8575</v>
      </c>
      <c r="E114" s="11">
        <f>SUM(E112:E113)</f>
        <v>10175</v>
      </c>
      <c r="F114" s="11">
        <f>SUM(F112:F113)</f>
        <v>10175</v>
      </c>
      <c r="G114" s="11">
        <f>SUM(G112:G113)</f>
        <v>1600</v>
      </c>
      <c r="H114" s="12">
        <f>G114/D114</f>
        <v>0.18658892128279883</v>
      </c>
    </row>
    <row r="115" spans="3:8" ht="12.75" hidden="1">
      <c r="C115" s="13"/>
      <c r="D115" s="13"/>
      <c r="E115" s="13"/>
      <c r="F115" s="13"/>
      <c r="G115" s="13"/>
      <c r="H115" s="14"/>
    </row>
    <row r="116" spans="2:8" s="15" customFormat="1" ht="12.75">
      <c r="B116" s="16" t="s">
        <v>108</v>
      </c>
      <c r="C116" s="17">
        <f>C99+C106+C110+C114</f>
        <v>225288</v>
      </c>
      <c r="D116" s="17">
        <f>D99+D106+D110+D114</f>
        <v>224288</v>
      </c>
      <c r="E116" s="17">
        <f>E99+E106+E110+E114</f>
        <v>281044.4</v>
      </c>
      <c r="F116" s="17">
        <f>F99+F106+F110+F114</f>
        <v>238891.4</v>
      </c>
      <c r="G116" s="17">
        <f>G99+G106+G110+G114</f>
        <v>14603.400000000001</v>
      </c>
      <c r="H116" s="18">
        <f>G116/D116</f>
        <v>0.06511003709516337</v>
      </c>
    </row>
    <row r="117" spans="3:7" ht="12.75">
      <c r="C117" s="7"/>
      <c r="D117" s="7"/>
      <c r="E117" s="7"/>
      <c r="F117" s="7"/>
      <c r="G117" s="13"/>
    </row>
    <row r="118" spans="2:8" ht="12.75">
      <c r="B118" s="8" t="s">
        <v>109</v>
      </c>
      <c r="C118" s="9"/>
      <c r="D118" s="9"/>
      <c r="E118" s="9"/>
      <c r="F118" s="9"/>
      <c r="G118" s="19"/>
      <c r="H118" s="19"/>
    </row>
    <row r="119" spans="1:8" ht="12.75" hidden="1">
      <c r="A119" t="s">
        <v>110</v>
      </c>
      <c r="B119" t="s">
        <v>111</v>
      </c>
      <c r="C119" s="9">
        <v>63655</v>
      </c>
      <c r="D119" s="9">
        <v>63655</v>
      </c>
      <c r="E119" s="9">
        <v>69206</v>
      </c>
      <c r="F119" s="9">
        <v>69206</v>
      </c>
      <c r="G119" s="9">
        <f aca="true" t="shared" si="11" ref="G119:G124">F119-D119</f>
        <v>5551</v>
      </c>
      <c r="H119" s="10">
        <f aca="true" t="shared" si="12" ref="H119:H124">G119/D119</f>
        <v>0.08720446155054591</v>
      </c>
    </row>
    <row r="120" spans="1:8" ht="12.75" hidden="1">
      <c r="A120" t="s">
        <v>112</v>
      </c>
      <c r="B120" t="s">
        <v>113</v>
      </c>
      <c r="C120" s="9">
        <v>41957</v>
      </c>
      <c r="D120" s="9">
        <v>43732</v>
      </c>
      <c r="E120" s="9">
        <v>49431</v>
      </c>
      <c r="F120" s="9">
        <v>49431</v>
      </c>
      <c r="G120" s="9">
        <f t="shared" si="11"/>
        <v>5699</v>
      </c>
      <c r="H120" s="10">
        <f t="shared" si="12"/>
        <v>0.13031647306320315</v>
      </c>
    </row>
    <row r="121" spans="2:8" ht="12.75" hidden="1">
      <c r="B121" t="s">
        <v>114</v>
      </c>
      <c r="C121" s="9">
        <v>15000</v>
      </c>
      <c r="D121" s="9">
        <v>3000</v>
      </c>
      <c r="E121" s="9">
        <v>3000</v>
      </c>
      <c r="F121" s="9">
        <v>3000</v>
      </c>
      <c r="G121" s="9">
        <f t="shared" si="11"/>
        <v>0</v>
      </c>
      <c r="H121" s="10">
        <f t="shared" si="12"/>
        <v>0</v>
      </c>
    </row>
    <row r="122" spans="1:8" ht="12.75" hidden="1">
      <c r="A122" t="s">
        <v>115</v>
      </c>
      <c r="B122" t="s">
        <v>116</v>
      </c>
      <c r="C122" s="9">
        <v>1000</v>
      </c>
      <c r="D122" s="9">
        <v>1000</v>
      </c>
      <c r="E122" s="9">
        <v>2000</v>
      </c>
      <c r="F122" s="9">
        <v>2000</v>
      </c>
      <c r="G122" s="9">
        <f t="shared" si="11"/>
        <v>1000</v>
      </c>
      <c r="H122" s="10">
        <f t="shared" si="12"/>
        <v>1</v>
      </c>
    </row>
    <row r="123" spans="2:8" ht="12.75" hidden="1">
      <c r="B123" t="s">
        <v>74</v>
      </c>
      <c r="C123" s="9">
        <v>1500</v>
      </c>
      <c r="D123" s="9">
        <v>1500</v>
      </c>
      <c r="E123" s="9">
        <v>2500</v>
      </c>
      <c r="F123" s="9">
        <v>2500</v>
      </c>
      <c r="G123" s="9">
        <f t="shared" si="11"/>
        <v>1000</v>
      </c>
      <c r="H123" s="10">
        <f t="shared" si="12"/>
        <v>0.6666666666666666</v>
      </c>
    </row>
    <row r="124" spans="1:8" ht="12.75" hidden="1">
      <c r="A124" t="s">
        <v>117</v>
      </c>
      <c r="B124" t="s">
        <v>34</v>
      </c>
      <c r="C124" s="9">
        <v>3100</v>
      </c>
      <c r="D124" s="9">
        <v>3100</v>
      </c>
      <c r="E124" s="9">
        <v>1800</v>
      </c>
      <c r="F124" s="9">
        <v>1800</v>
      </c>
      <c r="G124" s="9">
        <f t="shared" si="11"/>
        <v>-1300</v>
      </c>
      <c r="H124" s="10">
        <f t="shared" si="12"/>
        <v>-0.41935483870967744</v>
      </c>
    </row>
    <row r="125" spans="2:8" ht="12.75">
      <c r="B125" s="8" t="s">
        <v>15</v>
      </c>
      <c r="C125" s="11">
        <f>SUM(C119:C124)</f>
        <v>126212</v>
      </c>
      <c r="D125" s="11">
        <f>SUM(D119:D124)</f>
        <v>115987</v>
      </c>
      <c r="E125" s="11">
        <f>SUM(E119:E124)</f>
        <v>127937</v>
      </c>
      <c r="F125" s="11">
        <f>SUM(F119:F124)</f>
        <v>127937</v>
      </c>
      <c r="G125" s="11">
        <f>SUM(G119:G124)</f>
        <v>11950</v>
      </c>
      <c r="H125" s="12">
        <f>G125/D125</f>
        <v>0.10302878770896738</v>
      </c>
    </row>
    <row r="126" spans="3:8" ht="12.75" hidden="1">
      <c r="C126" s="9"/>
      <c r="D126" s="9"/>
      <c r="E126" s="9"/>
      <c r="F126" s="9"/>
      <c r="G126" s="9"/>
      <c r="H126" s="10"/>
    </row>
    <row r="127" spans="1:8" ht="12.75" hidden="1">
      <c r="A127" t="s">
        <v>118</v>
      </c>
      <c r="C127" s="9"/>
      <c r="D127" s="9"/>
      <c r="E127" s="9"/>
      <c r="F127" s="9"/>
      <c r="G127" s="9"/>
      <c r="H127" s="10"/>
    </row>
    <row r="128" spans="1:8" ht="12.75" hidden="1">
      <c r="A128" t="s">
        <v>119</v>
      </c>
      <c r="B128" t="s">
        <v>102</v>
      </c>
      <c r="C128" s="9">
        <v>13000</v>
      </c>
      <c r="D128" s="9">
        <v>13000</v>
      </c>
      <c r="E128" s="9">
        <v>11000</v>
      </c>
      <c r="F128" s="9">
        <v>11000</v>
      </c>
      <c r="G128" s="9">
        <f>F128-D128</f>
        <v>-2000</v>
      </c>
      <c r="H128" s="10">
        <f>G128/D128</f>
        <v>-0.15384615384615385</v>
      </c>
    </row>
    <row r="129" spans="2:8" ht="12.75" hidden="1">
      <c r="B129" t="s">
        <v>120</v>
      </c>
      <c r="C129" s="9">
        <v>7000</v>
      </c>
      <c r="D129" s="9">
        <v>7000</v>
      </c>
      <c r="E129" s="9">
        <v>10000</v>
      </c>
      <c r="F129" s="9">
        <v>10000</v>
      </c>
      <c r="G129" s="9">
        <f>F129-D129</f>
        <v>3000</v>
      </c>
      <c r="H129" s="10">
        <f>G129/D129</f>
        <v>0.42857142857142855</v>
      </c>
    </row>
    <row r="130" spans="1:8" ht="12.75" hidden="1">
      <c r="A130" t="s">
        <v>121</v>
      </c>
      <c r="B130" t="s">
        <v>122</v>
      </c>
      <c r="C130" s="9">
        <v>40000</v>
      </c>
      <c r="D130" s="9">
        <v>25000</v>
      </c>
      <c r="E130" s="9">
        <v>35000</v>
      </c>
      <c r="F130" s="9">
        <v>25000</v>
      </c>
      <c r="G130" s="9">
        <f>F130-D130</f>
        <v>0</v>
      </c>
      <c r="H130" s="10">
        <f>G130/D130</f>
        <v>0</v>
      </c>
    </row>
    <row r="131" spans="2:8" ht="12.75">
      <c r="B131" s="25" t="s">
        <v>18</v>
      </c>
      <c r="C131" s="11">
        <f>SUM(C127:C130)</f>
        <v>60000</v>
      </c>
      <c r="D131" s="11">
        <f>SUM(D127:D130)</f>
        <v>45000</v>
      </c>
      <c r="E131" s="11">
        <f>SUM(E127:E130)</f>
        <v>56000</v>
      </c>
      <c r="F131" s="11">
        <f>SUM(F127:F130)</f>
        <v>46000</v>
      </c>
      <c r="G131" s="11">
        <f>SUM(G127:G130)</f>
        <v>1000</v>
      </c>
      <c r="H131" s="12">
        <f>G131/D131</f>
        <v>0.022222222222222223</v>
      </c>
    </row>
    <row r="132" spans="3:8" ht="12.75" hidden="1">
      <c r="C132" s="9"/>
      <c r="D132" s="9"/>
      <c r="E132" s="9"/>
      <c r="F132" s="9"/>
      <c r="G132" s="9"/>
      <c r="H132" s="10"/>
    </row>
    <row r="133" spans="1:8" ht="12.75" hidden="1">
      <c r="A133" t="s">
        <v>123</v>
      </c>
      <c r="B133" t="s">
        <v>47</v>
      </c>
      <c r="C133" s="9">
        <v>1500</v>
      </c>
      <c r="D133" s="9">
        <v>1500</v>
      </c>
      <c r="E133" s="9">
        <v>1500</v>
      </c>
      <c r="F133" s="9">
        <v>1500</v>
      </c>
      <c r="G133" s="9">
        <f>F133-D133</f>
        <v>0</v>
      </c>
      <c r="H133" s="10">
        <f>G133/D133</f>
        <v>0</v>
      </c>
    </row>
    <row r="134" spans="2:8" ht="12.75">
      <c r="B134" s="8" t="s">
        <v>48</v>
      </c>
      <c r="C134" s="11">
        <f>SUM(C133)</f>
        <v>1500</v>
      </c>
      <c r="D134" s="11">
        <f>SUM(D133)</f>
        <v>1500</v>
      </c>
      <c r="E134" s="11">
        <f>SUM(E133)</f>
        <v>1500</v>
      </c>
      <c r="F134" s="11">
        <f>SUM(F133)</f>
        <v>1500</v>
      </c>
      <c r="G134" s="11">
        <f>SUM(G133)</f>
        <v>0</v>
      </c>
      <c r="H134" s="12">
        <f>G134/D134</f>
        <v>0</v>
      </c>
    </row>
    <row r="135" spans="3:8" ht="12.75" hidden="1">
      <c r="C135" s="9"/>
      <c r="D135" s="9"/>
      <c r="E135" s="9"/>
      <c r="F135" s="9"/>
      <c r="G135" s="9"/>
      <c r="H135" s="10"/>
    </row>
    <row r="136" spans="1:8" ht="12.75" hidden="1">
      <c r="A136" t="s">
        <v>124</v>
      </c>
      <c r="B136" t="s">
        <v>20</v>
      </c>
      <c r="C136" s="9">
        <v>1300</v>
      </c>
      <c r="D136" s="9">
        <v>1300</v>
      </c>
      <c r="E136" s="9">
        <v>2000</v>
      </c>
      <c r="F136" s="9">
        <v>2000</v>
      </c>
      <c r="G136" s="9">
        <f>F136-D136</f>
        <v>700</v>
      </c>
      <c r="H136" s="10">
        <f>G136/D136</f>
        <v>0.5384615384615384</v>
      </c>
    </row>
    <row r="137" spans="2:8" ht="12.75" hidden="1">
      <c r="B137" t="s">
        <v>51</v>
      </c>
      <c r="C137" s="9">
        <v>250</v>
      </c>
      <c r="D137" s="9">
        <v>250</v>
      </c>
      <c r="E137" s="9">
        <v>300</v>
      </c>
      <c r="F137" s="9">
        <v>300</v>
      </c>
      <c r="G137" s="9">
        <f>F137-D137</f>
        <v>50</v>
      </c>
      <c r="H137" s="10">
        <f>G137/D137</f>
        <v>0.2</v>
      </c>
    </row>
    <row r="138" spans="1:8" ht="12.75" hidden="1">
      <c r="A138" t="s">
        <v>125</v>
      </c>
      <c r="B138" t="s">
        <v>126</v>
      </c>
      <c r="C138" s="9">
        <v>1000</v>
      </c>
      <c r="D138" s="9">
        <v>1000</v>
      </c>
      <c r="E138" s="9">
        <v>1000</v>
      </c>
      <c r="F138" s="9">
        <v>1000</v>
      </c>
      <c r="G138" s="9">
        <f>F138-D138</f>
        <v>0</v>
      </c>
      <c r="H138" s="10">
        <f>G138/D138</f>
        <v>0</v>
      </c>
    </row>
    <row r="139" spans="2:8" ht="12.75">
      <c r="B139" s="8" t="s">
        <v>22</v>
      </c>
      <c r="C139" s="11">
        <f>SUM(C136:C138)</f>
        <v>2550</v>
      </c>
      <c r="D139" s="11">
        <f>SUM(D136:D138)</f>
        <v>2550</v>
      </c>
      <c r="E139" s="11">
        <f>SUM(E136:E138)</f>
        <v>3300</v>
      </c>
      <c r="F139" s="11">
        <f>SUM(F136:F138)</f>
        <v>3300</v>
      </c>
      <c r="G139" s="11">
        <f>SUM(G135:G138)</f>
        <v>750</v>
      </c>
      <c r="H139" s="12">
        <f>G139/D139</f>
        <v>0.29411764705882354</v>
      </c>
    </row>
    <row r="140" spans="3:8" ht="12.75" hidden="1">
      <c r="C140" s="13"/>
      <c r="D140" s="13"/>
      <c r="E140" s="13"/>
      <c r="F140" s="13"/>
      <c r="G140" s="26"/>
      <c r="H140" s="14"/>
    </row>
    <row r="141" spans="2:8" s="15" customFormat="1" ht="12.75">
      <c r="B141" s="16" t="s">
        <v>127</v>
      </c>
      <c r="C141" s="17">
        <f>SUM(C139+C134+C131+C125)</f>
        <v>190262</v>
      </c>
      <c r="D141" s="17">
        <f>SUM(D139+D134+D131+D125)</f>
        <v>165037</v>
      </c>
      <c r="E141" s="17">
        <f>SUM(E139+E134+E131+E125)</f>
        <v>188737</v>
      </c>
      <c r="F141" s="17">
        <f>SUM(F139+F134+F131+F125)</f>
        <v>178737</v>
      </c>
      <c r="G141" s="17">
        <f>SUM(G139+G134+G131+G125)</f>
        <v>13700</v>
      </c>
      <c r="H141" s="18">
        <f>G141/D141</f>
        <v>0.08301168828808085</v>
      </c>
    </row>
    <row r="142" spans="3:7" ht="12.75">
      <c r="C142" s="7"/>
      <c r="D142" s="7"/>
      <c r="E142" s="7"/>
      <c r="F142" s="7"/>
      <c r="G142" s="13"/>
    </row>
    <row r="143" spans="2:8" ht="12.75">
      <c r="B143" s="8" t="s">
        <v>128</v>
      </c>
      <c r="C143" s="9"/>
      <c r="D143" s="9"/>
      <c r="E143" s="9"/>
      <c r="F143" s="9"/>
      <c r="G143" s="19"/>
      <c r="H143" s="19"/>
    </row>
    <row r="144" spans="2:8" ht="12.75" hidden="1">
      <c r="B144" s="20" t="s">
        <v>129</v>
      </c>
      <c r="C144" s="9">
        <v>0</v>
      </c>
      <c r="D144" s="9"/>
      <c r="E144" s="9"/>
      <c r="F144" s="9"/>
      <c r="G144" s="9">
        <f aca="true" t="shared" si="13" ref="G144:G150">F144-D144</f>
        <v>0</v>
      </c>
      <c r="H144" s="10" t="e">
        <f aca="true" t="shared" si="14" ref="H144:H150">G144/D144</f>
        <v>#DIV/0!</v>
      </c>
    </row>
    <row r="145" spans="1:8" ht="12.75" hidden="1">
      <c r="A145" t="s">
        <v>130</v>
      </c>
      <c r="B145" t="s">
        <v>131</v>
      </c>
      <c r="C145" s="9">
        <v>70067</v>
      </c>
      <c r="D145" s="9">
        <v>70067</v>
      </c>
      <c r="E145" s="9">
        <f>D145*1.05575</f>
        <v>73973.23525</v>
      </c>
      <c r="F145" s="9">
        <v>73964</v>
      </c>
      <c r="G145" s="9">
        <f t="shared" si="13"/>
        <v>3897</v>
      </c>
      <c r="H145" s="10">
        <f t="shared" si="14"/>
        <v>0.0556181940143006</v>
      </c>
    </row>
    <row r="146" spans="1:8" ht="12.75" hidden="1">
      <c r="A146" t="s">
        <v>132</v>
      </c>
      <c r="B146" t="s">
        <v>133</v>
      </c>
      <c r="C146" s="9">
        <v>48193</v>
      </c>
      <c r="D146" s="9">
        <v>48193</v>
      </c>
      <c r="E146" s="9">
        <v>50869</v>
      </c>
      <c r="F146" s="9">
        <v>50869</v>
      </c>
      <c r="G146" s="9">
        <f t="shared" si="13"/>
        <v>2676</v>
      </c>
      <c r="H146" s="10">
        <f t="shared" si="14"/>
        <v>0.05552673624800282</v>
      </c>
    </row>
    <row r="147" spans="1:8" ht="12.75" hidden="1">
      <c r="A147" t="s">
        <v>134</v>
      </c>
      <c r="B147" t="s">
        <v>135</v>
      </c>
      <c r="C147" s="9"/>
      <c r="D147" s="9"/>
      <c r="E147" s="9"/>
      <c r="F147" s="9"/>
      <c r="G147" s="9">
        <f t="shared" si="13"/>
        <v>0</v>
      </c>
      <c r="H147" s="10" t="e">
        <f t="shared" si="14"/>
        <v>#DIV/0!</v>
      </c>
    </row>
    <row r="148" spans="2:8" ht="12.75" hidden="1">
      <c r="B148" t="s">
        <v>136</v>
      </c>
      <c r="C148" s="9">
        <v>9000</v>
      </c>
      <c r="D148" s="9">
        <v>9000</v>
      </c>
      <c r="E148" s="9">
        <v>9000</v>
      </c>
      <c r="F148" s="9">
        <v>9000</v>
      </c>
      <c r="G148" s="9">
        <f t="shared" si="13"/>
        <v>0</v>
      </c>
      <c r="H148" s="10">
        <f t="shared" si="14"/>
        <v>0</v>
      </c>
    </row>
    <row r="149" spans="1:8" ht="12.75" hidden="1">
      <c r="A149" t="s">
        <v>137</v>
      </c>
      <c r="B149" t="s">
        <v>138</v>
      </c>
      <c r="C149" s="9">
        <v>4000</v>
      </c>
      <c r="D149" s="9">
        <v>4000</v>
      </c>
      <c r="E149" s="9">
        <v>4000</v>
      </c>
      <c r="F149" s="9">
        <v>4000</v>
      </c>
      <c r="G149" s="9">
        <f t="shared" si="13"/>
        <v>0</v>
      </c>
      <c r="H149" s="10">
        <f t="shared" si="14"/>
        <v>0</v>
      </c>
    </row>
    <row r="150" spans="2:8" ht="12.75" hidden="1">
      <c r="B150" t="s">
        <v>139</v>
      </c>
      <c r="C150" s="9">
        <v>2600</v>
      </c>
      <c r="D150" s="9">
        <v>2600</v>
      </c>
      <c r="E150" s="9">
        <v>2600</v>
      </c>
      <c r="F150" s="9">
        <v>3000</v>
      </c>
      <c r="G150" s="9">
        <f t="shared" si="13"/>
        <v>400</v>
      </c>
      <c r="H150" s="10">
        <f t="shared" si="14"/>
        <v>0.15384615384615385</v>
      </c>
    </row>
    <row r="151" spans="2:8" ht="12.75">
      <c r="B151" s="8" t="s">
        <v>15</v>
      </c>
      <c r="C151" s="11">
        <f>SUM(C144:C150)</f>
        <v>133860</v>
      </c>
      <c r="D151" s="11">
        <f>SUM(D144:D150)</f>
        <v>133860</v>
      </c>
      <c r="E151" s="11">
        <f>SUM(E144:E150)</f>
        <v>140442.23525</v>
      </c>
      <c r="F151" s="11">
        <f>SUM(F144:F150)</f>
        <v>140833</v>
      </c>
      <c r="G151" s="11">
        <f>SUM(G144:G150)</f>
        <v>6973</v>
      </c>
      <c r="H151" s="12">
        <f>G151/D151</f>
        <v>0.05209173763633647</v>
      </c>
    </row>
    <row r="152" spans="3:8" ht="12.75" hidden="1">
      <c r="C152" s="9"/>
      <c r="D152" s="9"/>
      <c r="E152" s="9"/>
      <c r="F152" s="9"/>
      <c r="G152" s="9"/>
      <c r="H152" s="10"/>
    </row>
    <row r="153" spans="2:8" ht="12.75" hidden="1">
      <c r="B153" t="s">
        <v>76</v>
      </c>
      <c r="C153" s="9">
        <v>4150</v>
      </c>
      <c r="D153" s="9">
        <v>4150</v>
      </c>
      <c r="E153" s="9">
        <v>4150</v>
      </c>
      <c r="F153" s="9">
        <v>4150</v>
      </c>
      <c r="G153" s="9">
        <f>F153-D153</f>
        <v>0</v>
      </c>
      <c r="H153" s="10">
        <f>G153/D153</f>
        <v>0</v>
      </c>
    </row>
    <row r="154" spans="2:8" ht="12.75" hidden="1">
      <c r="B154" t="s">
        <v>140</v>
      </c>
      <c r="C154" s="9"/>
      <c r="D154" s="9"/>
      <c r="E154" s="9"/>
      <c r="F154" s="9"/>
      <c r="G154" s="9">
        <f>F154-D154</f>
        <v>0</v>
      </c>
      <c r="H154" s="10" t="e">
        <f>G154/D154</f>
        <v>#DIV/0!</v>
      </c>
    </row>
    <row r="155" spans="1:8" ht="12.75" hidden="1">
      <c r="A155" t="s">
        <v>141</v>
      </c>
      <c r="B155" t="s">
        <v>45</v>
      </c>
      <c r="C155" s="9"/>
      <c r="D155" s="9"/>
      <c r="E155" s="9"/>
      <c r="F155" s="9">
        <v>600</v>
      </c>
      <c r="G155" s="9">
        <f>F155-D155</f>
        <v>600</v>
      </c>
      <c r="H155" s="10" t="e">
        <f>G155/D155</f>
        <v>#DIV/0!</v>
      </c>
    </row>
    <row r="156" spans="2:8" ht="12.75" hidden="1">
      <c r="B156" t="s">
        <v>142</v>
      </c>
      <c r="C156" s="9">
        <v>2739</v>
      </c>
      <c r="D156" s="9">
        <v>2739</v>
      </c>
      <c r="E156" s="9">
        <v>2807</v>
      </c>
      <c r="F156" s="9">
        <v>2807</v>
      </c>
      <c r="G156" s="9">
        <f>F156-D156</f>
        <v>68</v>
      </c>
      <c r="H156" s="10">
        <f>G156/D156</f>
        <v>0.02482657904344651</v>
      </c>
    </row>
    <row r="157" spans="2:8" ht="12.75">
      <c r="B157" s="8" t="s">
        <v>18</v>
      </c>
      <c r="C157" s="11">
        <f>SUM(C153:C156)</f>
        <v>6889</v>
      </c>
      <c r="D157" s="11">
        <f>SUM(D153:D156)</f>
        <v>6889</v>
      </c>
      <c r="E157" s="11">
        <f>SUM(E153:E156)</f>
        <v>6957</v>
      </c>
      <c r="F157" s="11">
        <f>SUM(F153:F156)</f>
        <v>7557</v>
      </c>
      <c r="G157" s="11">
        <f>SUM(G153:G156)</f>
        <v>668</v>
      </c>
      <c r="H157" s="12">
        <f>G157/D157</f>
        <v>0.09696617796487153</v>
      </c>
    </row>
    <row r="158" spans="2:8" ht="12.75" hidden="1">
      <c r="B158" s="8"/>
      <c r="C158" s="11"/>
      <c r="D158" s="11"/>
      <c r="E158" s="11"/>
      <c r="F158" s="11"/>
      <c r="G158" s="11"/>
      <c r="H158" s="12"/>
    </row>
    <row r="159" spans="2:8" ht="12.75" hidden="1">
      <c r="B159" t="s">
        <v>47</v>
      </c>
      <c r="C159" s="9">
        <v>800</v>
      </c>
      <c r="D159" s="9">
        <v>800</v>
      </c>
      <c r="E159" s="9">
        <v>800</v>
      </c>
      <c r="F159" s="9">
        <v>800</v>
      </c>
      <c r="G159" s="9">
        <f>F159-D159</f>
        <v>0</v>
      </c>
      <c r="H159" s="10">
        <f>G159/D159</f>
        <v>0</v>
      </c>
    </row>
    <row r="160" spans="2:8" ht="12.75">
      <c r="B160" s="8" t="s">
        <v>48</v>
      </c>
      <c r="C160" s="11">
        <f>SUM(C159)</f>
        <v>800</v>
      </c>
      <c r="D160" s="11">
        <f>SUM(D159)</f>
        <v>800</v>
      </c>
      <c r="E160" s="11">
        <f>SUM(E159)</f>
        <v>800</v>
      </c>
      <c r="F160" s="11">
        <f>SUM(F159)</f>
        <v>800</v>
      </c>
      <c r="G160" s="11">
        <f>SUM(G159)</f>
        <v>0</v>
      </c>
      <c r="H160" s="12">
        <f>G160/D160</f>
        <v>0</v>
      </c>
    </row>
    <row r="161" spans="3:8" ht="12.75" hidden="1">
      <c r="C161" s="9"/>
      <c r="D161" s="9"/>
      <c r="E161" s="9"/>
      <c r="F161" s="9"/>
      <c r="G161" s="9"/>
      <c r="H161" s="10"/>
    </row>
    <row r="162" spans="1:8" ht="12.75" hidden="1">
      <c r="A162" t="s">
        <v>143</v>
      </c>
      <c r="B162" t="s">
        <v>20</v>
      </c>
      <c r="C162" s="9">
        <v>1000</v>
      </c>
      <c r="D162" s="9">
        <v>1000</v>
      </c>
      <c r="E162" s="9">
        <v>1000</v>
      </c>
      <c r="F162" s="9">
        <v>1000</v>
      </c>
      <c r="G162" s="9">
        <f>F162-D162</f>
        <v>0</v>
      </c>
      <c r="H162" s="10">
        <f>G162/D162</f>
        <v>0</v>
      </c>
    </row>
    <row r="163" spans="2:8" ht="12.75" hidden="1">
      <c r="B163" t="s">
        <v>51</v>
      </c>
      <c r="C163" s="9">
        <v>500</v>
      </c>
      <c r="D163" s="9">
        <v>500</v>
      </c>
      <c r="E163" s="9">
        <v>500</v>
      </c>
      <c r="F163" s="9">
        <v>500</v>
      </c>
      <c r="G163" s="9">
        <f>F163-D163</f>
        <v>0</v>
      </c>
      <c r="H163" s="10">
        <f>G163/D163</f>
        <v>0</v>
      </c>
    </row>
    <row r="164" spans="2:8" ht="12.75">
      <c r="B164" s="8" t="s">
        <v>22</v>
      </c>
      <c r="C164" s="11">
        <f>SUM(C162:C163)</f>
        <v>1500</v>
      </c>
      <c r="D164" s="11">
        <f>SUM(D162:D163)</f>
        <v>1500</v>
      </c>
      <c r="E164" s="11">
        <f>SUM(E162:E163)</f>
        <v>1500</v>
      </c>
      <c r="F164" s="11">
        <f>SUM(F162:F163)</f>
        <v>1500</v>
      </c>
      <c r="G164" s="11">
        <f>SUM(G162:G163)</f>
        <v>0</v>
      </c>
      <c r="H164" s="12">
        <f>G164/D164</f>
        <v>0</v>
      </c>
    </row>
    <row r="165" spans="3:8" ht="12.75" hidden="1">
      <c r="C165" s="13"/>
      <c r="D165" s="13"/>
      <c r="E165" s="13"/>
      <c r="F165" s="13"/>
      <c r="G165" s="13"/>
      <c r="H165" s="14"/>
    </row>
    <row r="166" spans="2:8" s="15" customFormat="1" ht="12.75">
      <c r="B166" s="16" t="s">
        <v>144</v>
      </c>
      <c r="C166" s="17">
        <f>SUM(C164+C160+C157+C151)</f>
        <v>143049</v>
      </c>
      <c r="D166" s="17">
        <f>SUM(D164+D160+D157+D151)</f>
        <v>143049</v>
      </c>
      <c r="E166" s="17">
        <f>SUM(E164+E160+E157+E151)</f>
        <v>149699.23525</v>
      </c>
      <c r="F166" s="17">
        <f>SUM(F164+F160+F157+F151)</f>
        <v>150690</v>
      </c>
      <c r="G166" s="17">
        <f>SUM(G164+G160+G157+G151)</f>
        <v>7641</v>
      </c>
      <c r="H166" s="18">
        <f>G166/D166</f>
        <v>0.05341526330138624</v>
      </c>
    </row>
    <row r="167" spans="2:8" s="15" customFormat="1" ht="12.75">
      <c r="B167" s="21"/>
      <c r="C167" s="22"/>
      <c r="D167" s="22"/>
      <c r="E167" s="22"/>
      <c r="F167" s="22"/>
      <c r="G167" s="22"/>
      <c r="H167" s="23"/>
    </row>
    <row r="168" spans="2:8" ht="12.75">
      <c r="B168" s="8" t="s">
        <v>145</v>
      </c>
      <c r="C168" s="9"/>
      <c r="D168" s="9"/>
      <c r="E168" s="9"/>
      <c r="F168" s="9"/>
      <c r="G168" s="19"/>
      <c r="H168" s="19"/>
    </row>
    <row r="169" spans="1:8" ht="12.75" hidden="1">
      <c r="A169" t="s">
        <v>146</v>
      </c>
      <c r="B169" t="s">
        <v>147</v>
      </c>
      <c r="C169" s="9">
        <v>68246</v>
      </c>
      <c r="D169" s="9">
        <f>(68246*0.33)+(50000*0.66)</f>
        <v>55521.18</v>
      </c>
      <c r="E169" s="9">
        <v>55575</v>
      </c>
      <c r="F169" s="9">
        <v>58676</v>
      </c>
      <c r="G169" s="9">
        <f aca="true" t="shared" si="15" ref="G169:G174">F169-D169</f>
        <v>3154.8199999999997</v>
      </c>
      <c r="H169" s="10">
        <f aca="true" t="shared" si="16" ref="H169:H174">G169/D169</f>
        <v>0.0568219191306813</v>
      </c>
    </row>
    <row r="170" spans="1:8" ht="12.75" hidden="1">
      <c r="A170" t="s">
        <v>148</v>
      </c>
      <c r="B170" t="s">
        <v>149</v>
      </c>
      <c r="C170" s="9">
        <v>38616</v>
      </c>
      <c r="D170" s="9">
        <v>35300</v>
      </c>
      <c r="E170" s="9">
        <v>38429</v>
      </c>
      <c r="F170" s="9">
        <v>38429</v>
      </c>
      <c r="G170" s="9">
        <f t="shared" si="15"/>
        <v>3129</v>
      </c>
      <c r="H170" s="10">
        <f t="shared" si="16"/>
        <v>0.08864022662889519</v>
      </c>
    </row>
    <row r="171" spans="2:8" ht="12.75" hidden="1">
      <c r="B171" t="s">
        <v>150</v>
      </c>
      <c r="C171" s="9">
        <v>5000</v>
      </c>
      <c r="D171" s="9">
        <v>5000</v>
      </c>
      <c r="E171" s="9">
        <v>7500</v>
      </c>
      <c r="F171" s="9">
        <v>7500</v>
      </c>
      <c r="G171" s="9">
        <f t="shared" si="15"/>
        <v>2500</v>
      </c>
      <c r="H171" s="10">
        <f t="shared" si="16"/>
        <v>0.5</v>
      </c>
    </row>
    <row r="172" spans="2:8" ht="12.75" hidden="1">
      <c r="B172" t="s">
        <v>74</v>
      </c>
      <c r="C172" s="9">
        <v>3000</v>
      </c>
      <c r="D172" s="9">
        <v>3000</v>
      </c>
      <c r="E172" s="9">
        <v>2500</v>
      </c>
      <c r="F172" s="9">
        <v>2500</v>
      </c>
      <c r="G172" s="9">
        <f t="shared" si="15"/>
        <v>-500</v>
      </c>
      <c r="H172" s="10">
        <f t="shared" si="16"/>
        <v>-0.16666666666666666</v>
      </c>
    </row>
    <row r="173" spans="2:8" ht="12.75" hidden="1">
      <c r="B173" t="s">
        <v>34</v>
      </c>
      <c r="C173" s="9">
        <v>1800</v>
      </c>
      <c r="D173" s="9">
        <v>1800</v>
      </c>
      <c r="E173" s="9">
        <v>0</v>
      </c>
      <c r="F173" s="9">
        <v>0</v>
      </c>
      <c r="G173" s="9">
        <f t="shared" si="15"/>
        <v>-1800</v>
      </c>
      <c r="H173" s="10">
        <f t="shared" si="16"/>
        <v>-1</v>
      </c>
    </row>
    <row r="174" spans="2:8" ht="12.75" hidden="1">
      <c r="B174" t="s">
        <v>151</v>
      </c>
      <c r="C174" s="9">
        <v>1000</v>
      </c>
      <c r="D174" s="9">
        <v>1000</v>
      </c>
      <c r="E174" s="9">
        <v>0</v>
      </c>
      <c r="F174" s="9">
        <v>0</v>
      </c>
      <c r="G174" s="9">
        <f t="shared" si="15"/>
        <v>-1000</v>
      </c>
      <c r="H174" s="10">
        <f t="shared" si="16"/>
        <v>-1</v>
      </c>
    </row>
    <row r="175" spans="2:8" ht="12.75">
      <c r="B175" s="8" t="s">
        <v>15</v>
      </c>
      <c r="C175" s="11">
        <f>SUM(C169:C174)</f>
        <v>117662</v>
      </c>
      <c r="D175" s="11">
        <f>SUM(D169:D174)</f>
        <v>101621.18</v>
      </c>
      <c r="E175" s="11">
        <f>SUM(E169:E174)</f>
        <v>104004</v>
      </c>
      <c r="F175" s="11">
        <f>SUM(F169:F174)</f>
        <v>107105</v>
      </c>
      <c r="G175" s="11">
        <f>SUM(G169:G174)</f>
        <v>5483.82</v>
      </c>
      <c r="H175" s="12">
        <f>G175/D175</f>
        <v>0.053963356851396534</v>
      </c>
    </row>
    <row r="176" spans="3:8" ht="12.75" hidden="1">
      <c r="C176" s="9"/>
      <c r="D176" s="9"/>
      <c r="E176" s="9"/>
      <c r="F176" s="9"/>
      <c r="G176" s="9"/>
      <c r="H176" s="10"/>
    </row>
    <row r="177" spans="2:8" ht="12.75" hidden="1">
      <c r="B177" t="s">
        <v>152</v>
      </c>
      <c r="C177" s="9">
        <v>1900</v>
      </c>
      <c r="D177" s="9">
        <v>1600</v>
      </c>
      <c r="E177" s="9">
        <v>1600</v>
      </c>
      <c r="F177" s="9">
        <v>1600</v>
      </c>
      <c r="G177" s="9">
        <f aca="true" t="shared" si="17" ref="G177:G183">F177-D177</f>
        <v>0</v>
      </c>
      <c r="H177" s="10">
        <f aca="true" t="shared" si="18" ref="H177:H183">G177/D177</f>
        <v>0</v>
      </c>
    </row>
    <row r="178" spans="1:8" ht="12.75" hidden="1">
      <c r="A178" t="s">
        <v>153</v>
      </c>
      <c r="B178" t="s">
        <v>154</v>
      </c>
      <c r="C178" s="9">
        <v>7000</v>
      </c>
      <c r="D178" s="9">
        <v>7000</v>
      </c>
      <c r="E178" s="9">
        <v>7000</v>
      </c>
      <c r="F178" s="9">
        <v>7000</v>
      </c>
      <c r="G178" s="9">
        <f t="shared" si="17"/>
        <v>0</v>
      </c>
      <c r="H178" s="10">
        <f t="shared" si="18"/>
        <v>0</v>
      </c>
    </row>
    <row r="179" spans="1:8" ht="12.75" hidden="1">
      <c r="A179" t="s">
        <v>155</v>
      </c>
      <c r="B179" t="s">
        <v>156</v>
      </c>
      <c r="C179" s="9">
        <v>6000</v>
      </c>
      <c r="D179" s="9">
        <v>6000</v>
      </c>
      <c r="E179" s="9">
        <v>6000</v>
      </c>
      <c r="F179" s="9">
        <v>6000</v>
      </c>
      <c r="G179" s="9">
        <f t="shared" si="17"/>
        <v>0</v>
      </c>
      <c r="H179" s="10">
        <f t="shared" si="18"/>
        <v>0</v>
      </c>
    </row>
    <row r="180" spans="2:8" ht="12.75" hidden="1">
      <c r="B180" s="19" t="s">
        <v>157</v>
      </c>
      <c r="C180" s="9">
        <v>7500</v>
      </c>
      <c r="D180" s="9">
        <v>7500</v>
      </c>
      <c r="E180" s="9">
        <v>11000</v>
      </c>
      <c r="F180" s="9">
        <v>11000</v>
      </c>
      <c r="G180" s="9">
        <f t="shared" si="17"/>
        <v>3500</v>
      </c>
      <c r="H180" s="10">
        <f t="shared" si="18"/>
        <v>0.4666666666666667</v>
      </c>
    </row>
    <row r="181" spans="2:8" ht="12.75" hidden="1">
      <c r="B181" s="27" t="s">
        <v>158</v>
      </c>
      <c r="C181" s="9">
        <v>3000</v>
      </c>
      <c r="D181" s="9">
        <v>3000</v>
      </c>
      <c r="E181" s="9">
        <v>3000</v>
      </c>
      <c r="F181" s="9">
        <v>3000</v>
      </c>
      <c r="G181" s="9">
        <f t="shared" si="17"/>
        <v>0</v>
      </c>
      <c r="H181" s="10">
        <f t="shared" si="18"/>
        <v>0</v>
      </c>
    </row>
    <row r="182" spans="2:8" ht="12.75" hidden="1">
      <c r="B182" t="s">
        <v>159</v>
      </c>
      <c r="C182" s="9">
        <v>700</v>
      </c>
      <c r="D182" s="9">
        <v>700</v>
      </c>
      <c r="E182" s="9">
        <v>700</v>
      </c>
      <c r="F182" s="9">
        <v>700</v>
      </c>
      <c r="G182" s="9">
        <f t="shared" si="17"/>
        <v>0</v>
      </c>
      <c r="H182" s="10">
        <f t="shared" si="18"/>
        <v>0</v>
      </c>
    </row>
    <row r="183" spans="2:8" ht="12.75" hidden="1">
      <c r="B183" s="19" t="s">
        <v>45</v>
      </c>
      <c r="C183" s="9"/>
      <c r="D183" s="9"/>
      <c r="E183" s="9"/>
      <c r="F183" s="9"/>
      <c r="G183" s="9">
        <f t="shared" si="17"/>
        <v>0</v>
      </c>
      <c r="H183" s="10" t="e">
        <f t="shared" si="18"/>
        <v>#DIV/0!</v>
      </c>
    </row>
    <row r="184" spans="2:8" ht="12.75">
      <c r="B184" s="25" t="s">
        <v>18</v>
      </c>
      <c r="C184" s="11">
        <f>SUM(C177:C183)</f>
        <v>26100</v>
      </c>
      <c r="D184" s="11">
        <f>SUM(D177:D183)</f>
        <v>25800</v>
      </c>
      <c r="E184" s="11">
        <f>SUM(E177:E183)</f>
        <v>29300</v>
      </c>
      <c r="F184" s="11">
        <f>SUM(F177:F183)</f>
        <v>29300</v>
      </c>
      <c r="G184" s="11">
        <f>SUM(G177:G183)</f>
        <v>3500</v>
      </c>
      <c r="H184" s="12">
        <f>G184/D184</f>
        <v>0.13565891472868216</v>
      </c>
    </row>
    <row r="185" spans="3:8" ht="12.75" hidden="1">
      <c r="C185" s="9"/>
      <c r="D185" s="9"/>
      <c r="E185" s="9"/>
      <c r="F185" s="9"/>
      <c r="G185" s="9"/>
      <c r="H185" s="10"/>
    </row>
    <row r="186" spans="1:8" ht="12.75" hidden="1">
      <c r="A186" t="s">
        <v>160</v>
      </c>
      <c r="B186" t="s">
        <v>47</v>
      </c>
      <c r="C186" s="9">
        <v>1000</v>
      </c>
      <c r="D186" s="9">
        <v>1000</v>
      </c>
      <c r="E186" s="9">
        <v>1000</v>
      </c>
      <c r="F186" s="9">
        <v>1000</v>
      </c>
      <c r="G186" s="9">
        <f>F186-D186</f>
        <v>0</v>
      </c>
      <c r="H186" s="10">
        <f>G186/D186</f>
        <v>0</v>
      </c>
    </row>
    <row r="187" spans="2:8" ht="12.75">
      <c r="B187" s="8" t="s">
        <v>48</v>
      </c>
      <c r="C187" s="11">
        <f>SUM(C186:C186)</f>
        <v>1000</v>
      </c>
      <c r="D187" s="11">
        <f>SUM(D186:D186)</f>
        <v>1000</v>
      </c>
      <c r="E187" s="11">
        <f>SUM(E186:E186)</f>
        <v>1000</v>
      </c>
      <c r="F187" s="11">
        <f>SUM(F186:F186)</f>
        <v>1000</v>
      </c>
      <c r="G187" s="11">
        <f>SUM(G186:G186)</f>
        <v>0</v>
      </c>
      <c r="H187" s="12">
        <f>G187/D187</f>
        <v>0</v>
      </c>
    </row>
    <row r="188" spans="3:8" ht="12.75" hidden="1">
      <c r="C188" s="9"/>
      <c r="D188" s="9"/>
      <c r="E188" s="9"/>
      <c r="F188" s="9"/>
      <c r="G188" s="9"/>
      <c r="H188" s="10"/>
    </row>
    <row r="189" spans="2:8" ht="12.75" hidden="1">
      <c r="B189" t="s">
        <v>20</v>
      </c>
      <c r="C189" s="9">
        <v>2000</v>
      </c>
      <c r="D189" s="9">
        <v>1500</v>
      </c>
      <c r="E189" s="9">
        <v>1500</v>
      </c>
      <c r="F189" s="9">
        <v>1500</v>
      </c>
      <c r="G189" s="9">
        <f>F189-D189</f>
        <v>0</v>
      </c>
      <c r="H189" s="10">
        <f>G189/D189</f>
        <v>0</v>
      </c>
    </row>
    <row r="190" spans="1:8" ht="12.75" hidden="1">
      <c r="A190" t="s">
        <v>161</v>
      </c>
      <c r="B190" t="s">
        <v>51</v>
      </c>
      <c r="C190" s="9">
        <v>450</v>
      </c>
      <c r="D190" s="9">
        <v>450</v>
      </c>
      <c r="E190" s="9">
        <v>500</v>
      </c>
      <c r="F190" s="9">
        <v>500</v>
      </c>
      <c r="G190" s="9">
        <f>F190-D190</f>
        <v>50</v>
      </c>
      <c r="H190" s="10">
        <f>G190/D190</f>
        <v>0.1111111111111111</v>
      </c>
    </row>
    <row r="191" spans="2:8" ht="12.75">
      <c r="B191" s="8" t="s">
        <v>22</v>
      </c>
      <c r="C191" s="11">
        <f>SUM(C189:C190)</f>
        <v>2450</v>
      </c>
      <c r="D191" s="11">
        <f>SUM(D189:D190)</f>
        <v>1950</v>
      </c>
      <c r="E191" s="11">
        <f>SUM(E189:E190)</f>
        <v>2000</v>
      </c>
      <c r="F191" s="11">
        <f>SUM(F189:F190)</f>
        <v>2000</v>
      </c>
      <c r="G191" s="11">
        <f>SUM(G189:G190)</f>
        <v>50</v>
      </c>
      <c r="H191" s="12">
        <f>G191/D191</f>
        <v>0.02564102564102564</v>
      </c>
    </row>
    <row r="192" spans="3:8" ht="12.75" hidden="1">
      <c r="C192" s="13"/>
      <c r="D192" s="13"/>
      <c r="E192" s="13"/>
      <c r="F192" s="13"/>
      <c r="G192" s="26"/>
      <c r="H192" s="14"/>
    </row>
    <row r="193" spans="2:8" s="15" customFormat="1" ht="12.75">
      <c r="B193" s="16" t="s">
        <v>162</v>
      </c>
      <c r="C193" s="17">
        <f>SUM(C191+C187+C184+C175)</f>
        <v>147212</v>
      </c>
      <c r="D193" s="17">
        <f>SUM(D191+D187+D184+D175)</f>
        <v>130371.18</v>
      </c>
      <c r="E193" s="17">
        <f>SUM(E191+E187+E184+E175)</f>
        <v>136304</v>
      </c>
      <c r="F193" s="17">
        <f>SUM(F191+F187+F184+F175)</f>
        <v>139405</v>
      </c>
      <c r="G193" s="17">
        <f>SUM(G191+G187+G184+G175)</f>
        <v>9033.82</v>
      </c>
      <c r="H193" s="18">
        <f>G193/D193</f>
        <v>0.06929307535607179</v>
      </c>
    </row>
    <row r="194" spans="3:7" ht="12.75">
      <c r="C194" s="7"/>
      <c r="D194" s="7"/>
      <c r="E194" s="7"/>
      <c r="F194" s="7"/>
      <c r="G194" s="13"/>
    </row>
    <row r="195" spans="2:8" ht="12.75">
      <c r="B195" s="8" t="s">
        <v>163</v>
      </c>
      <c r="C195" s="9"/>
      <c r="D195" s="9"/>
      <c r="E195" s="9"/>
      <c r="F195" s="9"/>
      <c r="G195" s="19"/>
      <c r="H195" s="19"/>
    </row>
    <row r="196" spans="1:8" ht="12.75" hidden="1">
      <c r="A196" t="s">
        <v>164</v>
      </c>
      <c r="B196" t="s">
        <v>165</v>
      </c>
      <c r="C196" s="9">
        <v>1800</v>
      </c>
      <c r="D196" s="9">
        <v>1800</v>
      </c>
      <c r="E196" s="9">
        <v>1800</v>
      </c>
      <c r="F196" s="9">
        <v>1800</v>
      </c>
      <c r="G196" s="9">
        <f>F196-D196</f>
        <v>0</v>
      </c>
      <c r="H196" s="10">
        <f>G196/D196</f>
        <v>0</v>
      </c>
    </row>
    <row r="197" spans="2:8" ht="12.75" hidden="1">
      <c r="B197" t="s">
        <v>166</v>
      </c>
      <c r="C197" s="9">
        <v>0</v>
      </c>
      <c r="D197" s="9">
        <v>0</v>
      </c>
      <c r="E197" s="9">
        <v>0</v>
      </c>
      <c r="F197" s="9">
        <v>0</v>
      </c>
      <c r="G197" s="9"/>
      <c r="H197" s="10" t="e">
        <f>G197/D197</f>
        <v>#DIV/0!</v>
      </c>
    </row>
    <row r="198" spans="2:8" ht="12.75">
      <c r="B198" s="8" t="s">
        <v>15</v>
      </c>
      <c r="C198" s="11">
        <f>SUM(C196:C197)</f>
        <v>1800</v>
      </c>
      <c r="D198" s="11">
        <f>SUM(D196:D197)</f>
        <v>1800</v>
      </c>
      <c r="E198" s="11">
        <f>SUM(E196:E197)</f>
        <v>1800</v>
      </c>
      <c r="F198" s="11">
        <f>SUM(F196:F197)</f>
        <v>1800</v>
      </c>
      <c r="G198" s="11">
        <f>SUM(G196:G197)</f>
        <v>0</v>
      </c>
      <c r="H198" s="12">
        <f>G198/D198</f>
        <v>0</v>
      </c>
    </row>
    <row r="199" spans="2:8" ht="12.75" hidden="1">
      <c r="B199" s="8"/>
      <c r="C199" s="11"/>
      <c r="D199" s="11"/>
      <c r="E199" s="11"/>
      <c r="F199" s="11"/>
      <c r="G199" s="11"/>
      <c r="H199" s="12"/>
    </row>
    <row r="200" spans="2:8" ht="12.75" hidden="1">
      <c r="B200" s="8" t="s">
        <v>58</v>
      </c>
      <c r="C200" s="11">
        <v>150</v>
      </c>
      <c r="D200" s="11">
        <v>150</v>
      </c>
      <c r="E200" s="11">
        <v>150</v>
      </c>
      <c r="F200" s="11">
        <v>150</v>
      </c>
      <c r="G200" s="9">
        <f>F200-D200</f>
        <v>0</v>
      </c>
      <c r="H200" s="10">
        <f>G200/D200</f>
        <v>0</v>
      </c>
    </row>
    <row r="201" spans="2:8" ht="12.75">
      <c r="B201" s="8" t="s">
        <v>18</v>
      </c>
      <c r="C201" s="11">
        <f>SUM(C200)</f>
        <v>150</v>
      </c>
      <c r="D201" s="11">
        <f>SUM(D200)</f>
        <v>150</v>
      </c>
      <c r="E201" s="11">
        <f>SUM(E200)</f>
        <v>150</v>
      </c>
      <c r="F201" s="11">
        <f>SUM(F200)</f>
        <v>150</v>
      </c>
      <c r="G201" s="11">
        <f>SUM(G200)</f>
        <v>0</v>
      </c>
      <c r="H201" s="12">
        <f>G201/D201</f>
        <v>0</v>
      </c>
    </row>
    <row r="202" spans="3:8" ht="12.75" hidden="1">
      <c r="C202" s="9"/>
      <c r="D202" s="9"/>
      <c r="E202" s="9"/>
      <c r="F202" s="9"/>
      <c r="G202" s="9"/>
      <c r="H202" s="10"/>
    </row>
    <row r="203" spans="1:8" ht="12.75" hidden="1">
      <c r="A203" t="s">
        <v>167</v>
      </c>
      <c r="B203" t="s">
        <v>47</v>
      </c>
      <c r="C203" s="9">
        <v>350</v>
      </c>
      <c r="D203" s="9">
        <v>350</v>
      </c>
      <c r="E203" s="9">
        <v>350</v>
      </c>
      <c r="F203" s="9">
        <v>350</v>
      </c>
      <c r="G203" s="9">
        <f>F203-D203</f>
        <v>0</v>
      </c>
      <c r="H203" s="10">
        <f>G203/D203</f>
        <v>0</v>
      </c>
    </row>
    <row r="204" spans="2:8" ht="12.75">
      <c r="B204" s="8" t="s">
        <v>48</v>
      </c>
      <c r="C204" s="11">
        <f>SUM(C203)</f>
        <v>350</v>
      </c>
      <c r="D204" s="11">
        <f>SUM(D203)</f>
        <v>350</v>
      </c>
      <c r="E204" s="11">
        <f>SUM(E203)</f>
        <v>350</v>
      </c>
      <c r="F204" s="11">
        <f>SUM(F203)</f>
        <v>350</v>
      </c>
      <c r="G204" s="11">
        <f>SUM(G203)</f>
        <v>0</v>
      </c>
      <c r="H204" s="12">
        <f>G204/D204</f>
        <v>0</v>
      </c>
    </row>
    <row r="205" spans="3:8" ht="12.75" hidden="1">
      <c r="C205" s="9"/>
      <c r="D205" s="9"/>
      <c r="E205" s="9"/>
      <c r="F205" s="9"/>
      <c r="G205" s="9"/>
      <c r="H205" s="10"/>
    </row>
    <row r="206" spans="1:8" ht="12.75" hidden="1">
      <c r="A206" t="s">
        <v>168</v>
      </c>
      <c r="B206" t="s">
        <v>20</v>
      </c>
      <c r="C206" s="9"/>
      <c r="D206" s="9"/>
      <c r="E206" s="9"/>
      <c r="F206" s="9"/>
      <c r="G206" s="9">
        <f>F206-D206</f>
        <v>0</v>
      </c>
      <c r="H206" s="10" t="e">
        <f>G206/D206</f>
        <v>#DIV/0!</v>
      </c>
    </row>
    <row r="207" spans="2:8" ht="12.75">
      <c r="B207" s="8" t="s">
        <v>22</v>
      </c>
      <c r="C207" s="11">
        <f>SUM(C206)</f>
        <v>0</v>
      </c>
      <c r="D207" s="11">
        <f>SUM(D206)</f>
        <v>0</v>
      </c>
      <c r="E207" s="11">
        <f>SUM(E206)</f>
        <v>0</v>
      </c>
      <c r="F207" s="11">
        <f>SUM(F206)</f>
        <v>0</v>
      </c>
      <c r="G207" s="11">
        <f>SUM(G206)</f>
        <v>0</v>
      </c>
      <c r="H207" s="12" t="e">
        <f>G207/D207</f>
        <v>#DIV/0!</v>
      </c>
    </row>
    <row r="208" spans="3:8" ht="12.75" hidden="1">
      <c r="C208" s="13"/>
      <c r="D208" s="13"/>
      <c r="E208" s="13"/>
      <c r="F208" s="13"/>
      <c r="G208" s="26"/>
      <c r="H208" s="14"/>
    </row>
    <row r="209" spans="2:8" s="15" customFormat="1" ht="12.75">
      <c r="B209" s="16" t="s">
        <v>169</v>
      </c>
      <c r="C209" s="17">
        <f>SUM(C207+C201+C204+C198)</f>
        <v>2300</v>
      </c>
      <c r="D209" s="17">
        <f>SUM(D207+D201+D204+D198)</f>
        <v>2300</v>
      </c>
      <c r="E209" s="17">
        <f>SUM(E207+E201+E204+E198)</f>
        <v>2300</v>
      </c>
      <c r="F209" s="17">
        <f>SUM(F207+F201+F204+F198)</f>
        <v>2300</v>
      </c>
      <c r="G209" s="17">
        <f>SUM(G207+G201+G204+G198)</f>
        <v>0</v>
      </c>
      <c r="H209" s="18">
        <f>G209/D209</f>
        <v>0</v>
      </c>
    </row>
    <row r="210" spans="3:7" ht="12.75">
      <c r="C210" s="7"/>
      <c r="D210" s="7"/>
      <c r="E210" s="7"/>
      <c r="F210" s="7"/>
      <c r="G210" s="13"/>
    </row>
    <row r="211" spans="2:8" ht="12.75">
      <c r="B211" s="8" t="s">
        <v>170</v>
      </c>
      <c r="C211" s="9"/>
      <c r="D211" s="9"/>
      <c r="E211" s="9"/>
      <c r="F211" s="9"/>
      <c r="G211" s="19"/>
      <c r="H211" s="19"/>
    </row>
    <row r="212" spans="1:8" ht="12.75" hidden="1">
      <c r="A212" t="s">
        <v>171</v>
      </c>
      <c r="B212" t="s">
        <v>172</v>
      </c>
      <c r="C212" s="9">
        <v>47089</v>
      </c>
      <c r="D212" s="9">
        <v>35317</v>
      </c>
      <c r="E212" s="9">
        <v>35317</v>
      </c>
      <c r="F212" s="9">
        <f>49722*0.75</f>
        <v>37291.5</v>
      </c>
      <c r="G212" s="9">
        <f>F212-D212</f>
        <v>1974.5</v>
      </c>
      <c r="H212" s="10">
        <f aca="true" t="shared" si="19" ref="H212:H217">G212/D212</f>
        <v>0.05590791969872866</v>
      </c>
    </row>
    <row r="213" spans="1:8" ht="12.75" hidden="1">
      <c r="A213" t="s">
        <v>173</v>
      </c>
      <c r="B213" t="s">
        <v>174</v>
      </c>
      <c r="C213" s="9">
        <v>6000</v>
      </c>
      <c r="D213" s="9">
        <v>6000</v>
      </c>
      <c r="E213" s="9">
        <v>6000</v>
      </c>
      <c r="F213" s="9">
        <v>6000</v>
      </c>
      <c r="G213" s="9">
        <f>F213-D213</f>
        <v>0</v>
      </c>
      <c r="H213" s="10">
        <f t="shared" si="19"/>
        <v>0</v>
      </c>
    </row>
    <row r="214" spans="2:8" ht="12.75" hidden="1">
      <c r="B214" t="s">
        <v>74</v>
      </c>
      <c r="C214" s="9">
        <v>1500</v>
      </c>
      <c r="D214" s="9">
        <v>1500</v>
      </c>
      <c r="E214" s="9">
        <v>1500</v>
      </c>
      <c r="F214" s="9">
        <v>1500</v>
      </c>
      <c r="G214" s="9">
        <f>F214-D214</f>
        <v>0</v>
      </c>
      <c r="H214" s="10">
        <f t="shared" si="19"/>
        <v>0</v>
      </c>
    </row>
    <row r="215" spans="2:8" ht="12.75" hidden="1">
      <c r="B215" t="s">
        <v>175</v>
      </c>
      <c r="C215" s="9"/>
      <c r="D215" s="9"/>
      <c r="E215" s="9"/>
      <c r="F215" s="9">
        <v>300</v>
      </c>
      <c r="G215" s="9">
        <f>F215-D215</f>
        <v>300</v>
      </c>
      <c r="H215" s="10" t="e">
        <f t="shared" si="19"/>
        <v>#DIV/0!</v>
      </c>
    </row>
    <row r="216" spans="2:8" ht="12.75" hidden="1">
      <c r="B216" s="20" t="s">
        <v>34</v>
      </c>
      <c r="C216" s="9">
        <v>1200</v>
      </c>
      <c r="D216" s="9">
        <v>1200</v>
      </c>
      <c r="E216" s="9">
        <v>1200</v>
      </c>
      <c r="F216" s="9">
        <v>1200</v>
      </c>
      <c r="G216" s="9">
        <f>F216-D216</f>
        <v>0</v>
      </c>
      <c r="H216" s="10">
        <f t="shared" si="19"/>
        <v>0</v>
      </c>
    </row>
    <row r="217" spans="2:8" ht="12.75">
      <c r="B217" s="8" t="s">
        <v>15</v>
      </c>
      <c r="C217" s="11">
        <f>SUM(C212:C216)</f>
        <v>55789</v>
      </c>
      <c r="D217" s="11">
        <f>SUM(D212:D216)</f>
        <v>44017</v>
      </c>
      <c r="E217" s="11">
        <f>SUM(E212:E216)</f>
        <v>44017</v>
      </c>
      <c r="F217" s="11">
        <f>SUM(F212:F216)</f>
        <v>46291.5</v>
      </c>
      <c r="G217" s="11">
        <f>SUM(G212:G216)</f>
        <v>2274.5</v>
      </c>
      <c r="H217" s="12">
        <f t="shared" si="19"/>
        <v>0.051673217166094916</v>
      </c>
    </row>
    <row r="218" spans="3:8" ht="12.75" hidden="1">
      <c r="C218" s="9"/>
      <c r="D218" s="9"/>
      <c r="E218" s="9"/>
      <c r="F218" s="9"/>
      <c r="G218" s="9"/>
      <c r="H218" s="10"/>
    </row>
    <row r="219" spans="1:8" ht="12.75" hidden="1">
      <c r="A219" t="s">
        <v>176</v>
      </c>
      <c r="B219" t="s">
        <v>47</v>
      </c>
      <c r="C219" s="9">
        <v>600</v>
      </c>
      <c r="D219" s="9">
        <v>600</v>
      </c>
      <c r="E219" s="9">
        <v>600</v>
      </c>
      <c r="F219" s="9">
        <v>600</v>
      </c>
      <c r="G219" s="9">
        <f>F219-D219</f>
        <v>0</v>
      </c>
      <c r="H219" s="10">
        <f>G219/D219</f>
        <v>0</v>
      </c>
    </row>
    <row r="220" spans="2:8" ht="12.75">
      <c r="B220" s="8" t="s">
        <v>48</v>
      </c>
      <c r="C220" s="11">
        <f>SUM(C219:C219)</f>
        <v>600</v>
      </c>
      <c r="D220" s="11">
        <f>SUM(D219:D219)</f>
        <v>600</v>
      </c>
      <c r="E220" s="11">
        <f>SUM(E219:E219)</f>
        <v>600</v>
      </c>
      <c r="F220" s="11">
        <f>SUM(F219:F219)</f>
        <v>600</v>
      </c>
      <c r="G220" s="11">
        <f>SUM(G219:G219)</f>
        <v>0</v>
      </c>
      <c r="H220" s="12">
        <f>G220/D220</f>
        <v>0</v>
      </c>
    </row>
    <row r="221" spans="3:8" ht="12.75" hidden="1">
      <c r="C221" s="9"/>
      <c r="D221" s="9"/>
      <c r="E221" s="9"/>
      <c r="F221" s="9"/>
      <c r="G221" s="9"/>
      <c r="H221" s="10"/>
    </row>
    <row r="222" spans="1:8" ht="12.75" hidden="1">
      <c r="A222" t="s">
        <v>177</v>
      </c>
      <c r="B222" t="s">
        <v>20</v>
      </c>
      <c r="C222" s="9">
        <v>2170</v>
      </c>
      <c r="D222" s="9">
        <v>2170</v>
      </c>
      <c r="E222" s="9">
        <v>2170</v>
      </c>
      <c r="F222" s="9">
        <v>2170</v>
      </c>
      <c r="G222" s="9">
        <f>F222-D222</f>
        <v>0</v>
      </c>
      <c r="H222" s="10">
        <f>G222/D222</f>
        <v>0</v>
      </c>
    </row>
    <row r="223" spans="2:8" ht="12.75">
      <c r="B223" s="8" t="s">
        <v>22</v>
      </c>
      <c r="C223" s="11">
        <f>SUM(C222:C222)</f>
        <v>2170</v>
      </c>
      <c r="D223" s="11">
        <f>SUM(D222:D222)</f>
        <v>2170</v>
      </c>
      <c r="E223" s="11">
        <f>SUM(E222:E222)</f>
        <v>2170</v>
      </c>
      <c r="F223" s="11">
        <f>SUM(F222:F222)</f>
        <v>2170</v>
      </c>
      <c r="G223" s="11">
        <f>SUM(G222:G222)</f>
        <v>0</v>
      </c>
      <c r="H223" s="12">
        <f>G223/D223</f>
        <v>0</v>
      </c>
    </row>
    <row r="224" spans="3:8" ht="12.75" hidden="1">
      <c r="C224" s="13"/>
      <c r="D224" s="13"/>
      <c r="E224" s="13"/>
      <c r="F224" s="13"/>
      <c r="G224" s="13"/>
      <c r="H224" s="14"/>
    </row>
    <row r="225" spans="2:8" s="15" customFormat="1" ht="12.75">
      <c r="B225" s="16" t="s">
        <v>178</v>
      </c>
      <c r="C225" s="17">
        <f>SUM(C223+C220+C217)</f>
        <v>58559</v>
      </c>
      <c r="D225" s="17">
        <f>SUM(D223+D220+D217)</f>
        <v>46787</v>
      </c>
      <c r="E225" s="17">
        <f>SUM(E223+E220+E217)</f>
        <v>46787</v>
      </c>
      <c r="F225" s="17">
        <f>SUM(F223+F220+F217)</f>
        <v>49061.5</v>
      </c>
      <c r="G225" s="17">
        <f>SUM(G223+G220+G217)</f>
        <v>2274.5</v>
      </c>
      <c r="H225" s="18">
        <f>G225/D225</f>
        <v>0.048613931220210745</v>
      </c>
    </row>
    <row r="226" spans="3:6" ht="12.75">
      <c r="C226" s="7"/>
      <c r="D226" s="7"/>
      <c r="E226" s="7"/>
      <c r="F226" s="7"/>
    </row>
    <row r="227" spans="2:8" ht="12.75">
      <c r="B227" s="8" t="s">
        <v>179</v>
      </c>
      <c r="C227" s="9"/>
      <c r="D227" s="9"/>
      <c r="E227" s="9"/>
      <c r="F227" s="9"/>
      <c r="G227" s="19"/>
      <c r="H227" s="19"/>
    </row>
    <row r="228" spans="1:8" ht="12.75" hidden="1">
      <c r="A228" t="s">
        <v>180</v>
      </c>
      <c r="B228" t="s">
        <v>181</v>
      </c>
      <c r="C228" s="9">
        <v>125000</v>
      </c>
      <c r="D228" s="9">
        <v>125000</v>
      </c>
      <c r="E228" s="9">
        <v>130000</v>
      </c>
      <c r="F228" s="9">
        <v>130000</v>
      </c>
      <c r="G228" s="9">
        <f aca="true" t="shared" si="20" ref="G228:G251">F228-D228</f>
        <v>5000</v>
      </c>
      <c r="H228" s="10">
        <f aca="true" t="shared" si="21" ref="H228:H251">G228/D228</f>
        <v>0.04</v>
      </c>
    </row>
    <row r="229" spans="1:8" ht="12.75" hidden="1">
      <c r="A229" t="s">
        <v>182</v>
      </c>
      <c r="B229" t="s">
        <v>183</v>
      </c>
      <c r="C229" s="9">
        <v>87135</v>
      </c>
      <c r="D229" s="9">
        <f>(73813*1.15)*0.5</f>
        <v>42442.475</v>
      </c>
      <c r="E229" s="9">
        <v>84884</v>
      </c>
      <c r="F229" s="9">
        <v>84884</v>
      </c>
      <c r="G229" s="9">
        <f t="shared" si="20"/>
        <v>42441.525</v>
      </c>
      <c r="H229" s="10">
        <f t="shared" si="21"/>
        <v>0.9999776167624532</v>
      </c>
    </row>
    <row r="230" spans="2:10" ht="12.75" hidden="1">
      <c r="B230" t="s">
        <v>184</v>
      </c>
      <c r="C230" s="9">
        <v>301343</v>
      </c>
      <c r="D230" s="9">
        <v>306143</v>
      </c>
      <c r="E230" s="9">
        <v>306143</v>
      </c>
      <c r="F230" s="9">
        <f>306143*1.05575</f>
        <v>323210.47225</v>
      </c>
      <c r="G230" s="9">
        <f t="shared" si="20"/>
        <v>17067.47224999999</v>
      </c>
      <c r="H230" s="10">
        <f t="shared" si="21"/>
        <v>0.05574999999999997</v>
      </c>
      <c r="J230">
        <v>214968</v>
      </c>
    </row>
    <row r="231" spans="2:10" ht="12.75" hidden="1">
      <c r="B231" t="s">
        <v>185</v>
      </c>
      <c r="C231" s="9">
        <v>66809</v>
      </c>
      <c r="D231" s="9"/>
      <c r="E231" s="9"/>
      <c r="F231" s="9"/>
      <c r="G231" s="9">
        <f t="shared" si="20"/>
        <v>0</v>
      </c>
      <c r="H231" s="10" t="e">
        <f t="shared" si="21"/>
        <v>#DIV/0!</v>
      </c>
      <c r="J231">
        <v>68301</v>
      </c>
    </row>
    <row r="232" spans="2:8" ht="12.75" hidden="1">
      <c r="B232" t="s">
        <v>186</v>
      </c>
      <c r="C232" s="9">
        <v>0</v>
      </c>
      <c r="D232" s="9">
        <v>0</v>
      </c>
      <c r="E232" s="9"/>
      <c r="F232" s="9"/>
      <c r="G232" s="9">
        <f t="shared" si="20"/>
        <v>0</v>
      </c>
      <c r="H232" s="10" t="e">
        <f t="shared" si="21"/>
        <v>#DIV/0!</v>
      </c>
    </row>
    <row r="233" spans="2:8" ht="12.75" hidden="1">
      <c r="B233" t="s">
        <v>187</v>
      </c>
      <c r="C233" s="9">
        <v>0</v>
      </c>
      <c r="D233" s="9">
        <v>0</v>
      </c>
      <c r="E233" s="9"/>
      <c r="F233" s="9"/>
      <c r="G233" s="9">
        <f t="shared" si="20"/>
        <v>0</v>
      </c>
      <c r="H233" s="10" t="e">
        <f t="shared" si="21"/>
        <v>#DIV/0!</v>
      </c>
    </row>
    <row r="234" spans="2:8" ht="12.75" hidden="1">
      <c r="B234" t="s">
        <v>188</v>
      </c>
      <c r="C234" s="9">
        <v>580944</v>
      </c>
      <c r="D234" s="9">
        <f>580944+8715</f>
        <v>589659</v>
      </c>
      <c r="E234" s="9">
        <v>655177</v>
      </c>
      <c r="F234" s="9">
        <f>589659*1.05575</f>
        <v>622532.48925</v>
      </c>
      <c r="G234" s="9">
        <f t="shared" si="20"/>
        <v>32873.489249999984</v>
      </c>
      <c r="H234" s="10">
        <f t="shared" si="21"/>
        <v>0.05574999999999997</v>
      </c>
    </row>
    <row r="235" spans="1:8" ht="12.75" hidden="1">
      <c r="A235" t="s">
        <v>189</v>
      </c>
      <c r="B235" t="s">
        <v>190</v>
      </c>
      <c r="C235" s="9">
        <v>0</v>
      </c>
      <c r="D235" s="9">
        <v>0</v>
      </c>
      <c r="E235" s="9"/>
      <c r="F235" s="9"/>
      <c r="G235" s="9">
        <f t="shared" si="20"/>
        <v>0</v>
      </c>
      <c r="H235" s="10" t="e">
        <f t="shared" si="21"/>
        <v>#DIV/0!</v>
      </c>
    </row>
    <row r="236" spans="1:8" ht="12.75" hidden="1">
      <c r="A236" t="s">
        <v>191</v>
      </c>
      <c r="B236" t="s">
        <v>192</v>
      </c>
      <c r="C236" s="9">
        <v>212500</v>
      </c>
      <c r="D236" s="9">
        <v>212500</v>
      </c>
      <c r="E236" s="9">
        <v>212500</v>
      </c>
      <c r="F236" s="9">
        <f>212500*1.05575</f>
        <v>224346.875</v>
      </c>
      <c r="G236" s="9">
        <f t="shared" si="20"/>
        <v>11846.875</v>
      </c>
      <c r="H236" s="10">
        <f t="shared" si="21"/>
        <v>0.05575</v>
      </c>
    </row>
    <row r="237" spans="1:11" ht="12.75" hidden="1">
      <c r="A237" t="s">
        <v>193</v>
      </c>
      <c r="B237" t="s">
        <v>194</v>
      </c>
      <c r="C237" s="9">
        <v>25000</v>
      </c>
      <c r="D237" s="9">
        <v>25000</v>
      </c>
      <c r="E237" s="9">
        <v>35000</v>
      </c>
      <c r="F237" s="9">
        <v>35000</v>
      </c>
      <c r="G237" s="9">
        <f t="shared" si="20"/>
        <v>10000</v>
      </c>
      <c r="H237" s="10">
        <f t="shared" si="21"/>
        <v>0.4</v>
      </c>
      <c r="K237">
        <v>11910.6</v>
      </c>
    </row>
    <row r="238" spans="1:8" ht="12.75" hidden="1">
      <c r="A238" t="s">
        <v>195</v>
      </c>
      <c r="B238" t="s">
        <v>196</v>
      </c>
      <c r="C238" s="9">
        <v>50470</v>
      </c>
      <c r="D238" s="9">
        <v>50470</v>
      </c>
      <c r="E238" s="9">
        <v>45000</v>
      </c>
      <c r="F238" s="9">
        <v>45000</v>
      </c>
      <c r="G238" s="9">
        <f t="shared" si="20"/>
        <v>-5470</v>
      </c>
      <c r="H238" s="10">
        <f t="shared" si="21"/>
        <v>-0.10838121656429563</v>
      </c>
    </row>
    <row r="239" spans="2:8" ht="12.75" hidden="1">
      <c r="B239" t="s">
        <v>197</v>
      </c>
      <c r="C239" s="9">
        <v>8531</v>
      </c>
      <c r="D239" s="9">
        <v>8531</v>
      </c>
      <c r="E239" s="9">
        <v>8531</v>
      </c>
      <c r="F239" s="9">
        <v>8531</v>
      </c>
      <c r="G239" s="9">
        <f t="shared" si="20"/>
        <v>0</v>
      </c>
      <c r="H239" s="10">
        <f t="shared" si="21"/>
        <v>0</v>
      </c>
    </row>
    <row r="240" spans="1:8" ht="12.75" hidden="1">
      <c r="A240" t="s">
        <v>198</v>
      </c>
      <c r="B240" t="s">
        <v>199</v>
      </c>
      <c r="C240" s="9">
        <v>222218</v>
      </c>
      <c r="D240" s="9">
        <v>210000</v>
      </c>
      <c r="E240" s="9">
        <v>214965</v>
      </c>
      <c r="F240" s="9">
        <f>214965*1.05575</f>
        <v>226949.29875</v>
      </c>
      <c r="G240" s="9">
        <f t="shared" si="20"/>
        <v>16949.298749999987</v>
      </c>
      <c r="H240" s="10">
        <f t="shared" si="21"/>
        <v>0.08071094642857136</v>
      </c>
    </row>
    <row r="241" spans="1:8" ht="12.75" hidden="1">
      <c r="A241" t="s">
        <v>200</v>
      </c>
      <c r="B241" t="s">
        <v>201</v>
      </c>
      <c r="C241" s="9">
        <v>10000</v>
      </c>
      <c r="D241" s="9">
        <v>10000</v>
      </c>
      <c r="E241" s="9">
        <v>15000</v>
      </c>
      <c r="F241" s="9">
        <v>10000</v>
      </c>
      <c r="G241" s="9">
        <f t="shared" si="20"/>
        <v>0</v>
      </c>
      <c r="H241" s="10">
        <f t="shared" si="21"/>
        <v>0</v>
      </c>
    </row>
    <row r="242" spans="1:8" ht="12.75" hidden="1">
      <c r="A242" t="s">
        <v>202</v>
      </c>
      <c r="B242" t="s">
        <v>203</v>
      </c>
      <c r="C242" s="9">
        <v>25239</v>
      </c>
      <c r="D242" s="9">
        <v>20000</v>
      </c>
      <c r="E242" s="9">
        <v>20000</v>
      </c>
      <c r="F242" s="9">
        <v>20000</v>
      </c>
      <c r="G242" s="9">
        <f t="shared" si="20"/>
        <v>0</v>
      </c>
      <c r="H242" s="10">
        <f t="shared" si="21"/>
        <v>0</v>
      </c>
    </row>
    <row r="243" spans="1:8" ht="12.75" hidden="1">
      <c r="A243" t="s">
        <v>204</v>
      </c>
      <c r="B243" t="s">
        <v>205</v>
      </c>
      <c r="C243" s="9">
        <v>124861</v>
      </c>
      <c r="D243" s="9">
        <v>124861</v>
      </c>
      <c r="E243" s="9">
        <v>124962</v>
      </c>
      <c r="F243" s="9">
        <f>124962*1.05575</f>
        <v>131928.6315</v>
      </c>
      <c r="G243" s="9">
        <f t="shared" si="20"/>
        <v>7067.631499999989</v>
      </c>
      <c r="H243" s="10">
        <f t="shared" si="21"/>
        <v>0.056603995643155096</v>
      </c>
    </row>
    <row r="244" spans="1:8" ht="12.75" hidden="1">
      <c r="A244" t="s">
        <v>206</v>
      </c>
      <c r="B244" t="s">
        <v>207</v>
      </c>
      <c r="C244" s="9">
        <v>35433</v>
      </c>
      <c r="D244" s="9">
        <v>25000</v>
      </c>
      <c r="E244" s="9">
        <v>25000</v>
      </c>
      <c r="F244" s="9">
        <f>25000*1.05575</f>
        <v>26393.75</v>
      </c>
      <c r="G244" s="9">
        <f t="shared" si="20"/>
        <v>1393.75</v>
      </c>
      <c r="H244" s="10">
        <f t="shared" si="21"/>
        <v>0.05575</v>
      </c>
    </row>
    <row r="245" spans="1:8" ht="12.75" hidden="1">
      <c r="A245" t="s">
        <v>208</v>
      </c>
      <c r="B245" t="s">
        <v>209</v>
      </c>
      <c r="C245" s="9">
        <v>22176</v>
      </c>
      <c r="D245" s="9">
        <v>19800</v>
      </c>
      <c r="E245" s="9">
        <v>19800</v>
      </c>
      <c r="F245" s="9">
        <v>19800</v>
      </c>
      <c r="G245" s="9">
        <f t="shared" si="20"/>
        <v>0</v>
      </c>
      <c r="H245" s="10">
        <f t="shared" si="21"/>
        <v>0</v>
      </c>
    </row>
    <row r="246" spans="1:8" ht="12.75" hidden="1">
      <c r="A246" t="s">
        <v>210</v>
      </c>
      <c r="B246" t="s">
        <v>211</v>
      </c>
      <c r="C246" s="9">
        <v>62333</v>
      </c>
      <c r="D246" s="9">
        <v>61253</v>
      </c>
      <c r="E246" s="9">
        <v>62333</v>
      </c>
      <c r="F246" s="9">
        <v>64683</v>
      </c>
      <c r="G246" s="9">
        <f t="shared" si="20"/>
        <v>3430</v>
      </c>
      <c r="H246" s="10">
        <f t="shared" si="21"/>
        <v>0.05599725727719459</v>
      </c>
    </row>
    <row r="247" spans="1:8" ht="12.75" hidden="1">
      <c r="A247" t="s">
        <v>212</v>
      </c>
      <c r="B247" t="s">
        <v>213</v>
      </c>
      <c r="C247" s="9">
        <v>28100</v>
      </c>
      <c r="D247" s="9">
        <v>28100</v>
      </c>
      <c r="E247" s="9">
        <v>32100</v>
      </c>
      <c r="F247" s="9">
        <v>32100</v>
      </c>
      <c r="G247" s="9">
        <f t="shared" si="20"/>
        <v>4000</v>
      </c>
      <c r="H247" s="10">
        <f t="shared" si="21"/>
        <v>0.1423487544483986</v>
      </c>
    </row>
    <row r="248" spans="1:8" ht="12.75" hidden="1">
      <c r="A248" t="s">
        <v>214</v>
      </c>
      <c r="B248" t="s">
        <v>215</v>
      </c>
      <c r="C248" s="9">
        <v>20350</v>
      </c>
      <c r="D248" s="9">
        <v>20350</v>
      </c>
      <c r="E248" s="9">
        <v>21550</v>
      </c>
      <c r="F248" s="9">
        <v>21550</v>
      </c>
      <c r="G248" s="9">
        <f t="shared" si="20"/>
        <v>1200</v>
      </c>
      <c r="H248" s="10">
        <f t="shared" si="21"/>
        <v>0.05896805896805897</v>
      </c>
    </row>
    <row r="249" spans="1:8" ht="12.75" hidden="1">
      <c r="A249" t="s">
        <v>216</v>
      </c>
      <c r="B249" t="s">
        <v>217</v>
      </c>
      <c r="C249" s="9">
        <v>25000</v>
      </c>
      <c r="D249" s="9">
        <v>25000</v>
      </c>
      <c r="E249" s="9">
        <v>25000</v>
      </c>
      <c r="F249" s="9">
        <f>25000*1.05575</f>
        <v>26393.75</v>
      </c>
      <c r="G249" s="9">
        <f t="shared" si="20"/>
        <v>1393.75</v>
      </c>
      <c r="H249" s="10">
        <f t="shared" si="21"/>
        <v>0.05575</v>
      </c>
    </row>
    <row r="250" spans="1:8" ht="12.75" hidden="1">
      <c r="A250" t="s">
        <v>218</v>
      </c>
      <c r="B250" t="s">
        <v>219</v>
      </c>
      <c r="C250" s="9">
        <v>55000</v>
      </c>
      <c r="D250" s="9">
        <v>55000</v>
      </c>
      <c r="E250" s="9">
        <v>55000</v>
      </c>
      <c r="F250" s="9">
        <f>55000*1.05575</f>
        <v>58066.25</v>
      </c>
      <c r="G250" s="9">
        <f t="shared" si="20"/>
        <v>3066.25</v>
      </c>
      <c r="H250" s="10">
        <f t="shared" si="21"/>
        <v>0.05575</v>
      </c>
    </row>
    <row r="251" spans="1:8" ht="12.75" hidden="1">
      <c r="A251" t="s">
        <v>220</v>
      </c>
      <c r="B251" t="s">
        <v>221</v>
      </c>
      <c r="C251" s="9">
        <v>15000</v>
      </c>
      <c r="D251" s="9">
        <v>15000</v>
      </c>
      <c r="E251" s="9">
        <v>15000</v>
      </c>
      <c r="F251" s="9">
        <v>12000</v>
      </c>
      <c r="G251" s="9">
        <f t="shared" si="20"/>
        <v>-3000</v>
      </c>
      <c r="H251" s="10">
        <f t="shared" si="21"/>
        <v>-0.2</v>
      </c>
    </row>
    <row r="252" spans="2:8" ht="12.75" hidden="1">
      <c r="B252" s="20" t="s">
        <v>222</v>
      </c>
      <c r="C252" s="9">
        <v>15000</v>
      </c>
      <c r="D252" s="9"/>
      <c r="E252" s="9"/>
      <c r="F252" s="9"/>
      <c r="G252" s="9">
        <f>F252-D252</f>
        <v>0</v>
      </c>
      <c r="H252" s="10" t="e">
        <f>G252/D252</f>
        <v>#DIV/0!</v>
      </c>
    </row>
    <row r="253" spans="2:8" ht="12.75">
      <c r="B253" s="8" t="s">
        <v>15</v>
      </c>
      <c r="C253" s="11">
        <f>SUM(C228:C252)</f>
        <v>2118442</v>
      </c>
      <c r="D253" s="11">
        <f>SUM(D228:D252)</f>
        <v>1974109.475</v>
      </c>
      <c r="E253" s="11">
        <f>SUM(E228:E252)</f>
        <v>2107945</v>
      </c>
      <c r="F253" s="11">
        <f>SUM(F228:F252)</f>
        <v>2123369.51675</v>
      </c>
      <c r="G253" s="11">
        <f>SUM(G228:G252)</f>
        <v>149260.04174999995</v>
      </c>
      <c r="H253" s="12">
        <f>G253/D253</f>
        <v>0.07560879659422128</v>
      </c>
    </row>
    <row r="254" spans="3:8" ht="12.75" hidden="1">
      <c r="C254" s="9"/>
      <c r="D254" s="9"/>
      <c r="E254" s="9"/>
      <c r="F254" s="9"/>
      <c r="G254" s="9"/>
      <c r="H254" s="10"/>
    </row>
    <row r="255" spans="1:8" ht="12.75" hidden="1">
      <c r="A255" t="s">
        <v>223</v>
      </c>
      <c r="B255" t="s">
        <v>224</v>
      </c>
      <c r="C255" s="9">
        <v>16500</v>
      </c>
      <c r="D255" s="9">
        <v>16500</v>
      </c>
      <c r="E255" s="9">
        <v>16500</v>
      </c>
      <c r="F255" s="9">
        <v>14500</v>
      </c>
      <c r="G255" s="9">
        <f aca="true" t="shared" si="22" ref="G255:G269">F255-D255</f>
        <v>-2000</v>
      </c>
      <c r="H255" s="10">
        <f aca="true" t="shared" si="23" ref="H255:H269">G255/D255</f>
        <v>-0.12121212121212122</v>
      </c>
    </row>
    <row r="256" spans="1:8" ht="12.75" hidden="1">
      <c r="A256" t="s">
        <v>225</v>
      </c>
      <c r="B256" t="s">
        <v>226</v>
      </c>
      <c r="C256" s="9">
        <v>5500</v>
      </c>
      <c r="D256" s="9">
        <v>5500</v>
      </c>
      <c r="E256" s="9">
        <v>5500</v>
      </c>
      <c r="F256" s="9">
        <v>5500</v>
      </c>
      <c r="G256" s="9">
        <f t="shared" si="22"/>
        <v>0</v>
      </c>
      <c r="H256" s="10">
        <f t="shared" si="23"/>
        <v>0</v>
      </c>
    </row>
    <row r="257" spans="2:8" ht="12.75" hidden="1">
      <c r="B257" t="s">
        <v>152</v>
      </c>
      <c r="C257" s="9">
        <f>54050-8000-15000</f>
        <v>31050</v>
      </c>
      <c r="D257" s="9">
        <v>12500</v>
      </c>
      <c r="E257" s="9">
        <v>25500</v>
      </c>
      <c r="F257" s="9">
        <f>12500+13000</f>
        <v>25500</v>
      </c>
      <c r="G257" s="9">
        <f t="shared" si="22"/>
        <v>13000</v>
      </c>
      <c r="H257" s="10">
        <f t="shared" si="23"/>
        <v>1.04</v>
      </c>
    </row>
    <row r="258" spans="1:8" ht="12.75" hidden="1">
      <c r="A258" t="s">
        <v>227</v>
      </c>
      <c r="B258" t="s">
        <v>228</v>
      </c>
      <c r="C258" s="9">
        <v>45000</v>
      </c>
      <c r="D258" s="9">
        <v>45000</v>
      </c>
      <c r="E258" s="9">
        <v>30000</v>
      </c>
      <c r="F258" s="9">
        <v>25000</v>
      </c>
      <c r="G258" s="9">
        <f t="shared" si="22"/>
        <v>-20000</v>
      </c>
      <c r="H258" s="10">
        <f t="shared" si="23"/>
        <v>-0.4444444444444444</v>
      </c>
    </row>
    <row r="259" spans="1:8" ht="12.75" hidden="1">
      <c r="A259" t="s">
        <v>229</v>
      </c>
      <c r="B259" t="s">
        <v>230</v>
      </c>
      <c r="C259" s="9">
        <v>5000</v>
      </c>
      <c r="D259" s="9">
        <v>3000</v>
      </c>
      <c r="E259" s="9">
        <v>3000</v>
      </c>
      <c r="F259" s="9">
        <v>3000</v>
      </c>
      <c r="G259" s="9">
        <f t="shared" si="22"/>
        <v>0</v>
      </c>
      <c r="H259" s="10">
        <f t="shared" si="23"/>
        <v>0</v>
      </c>
    </row>
    <row r="260" spans="2:9" ht="12.75" hidden="1">
      <c r="B260" t="s">
        <v>231</v>
      </c>
      <c r="C260" s="9">
        <v>16900</v>
      </c>
      <c r="D260" s="9">
        <v>16900</v>
      </c>
      <c r="E260" s="9">
        <v>16900</v>
      </c>
      <c r="F260" s="9">
        <v>16900</v>
      </c>
      <c r="G260" s="9">
        <f t="shared" si="22"/>
        <v>0</v>
      </c>
      <c r="H260" s="10">
        <f t="shared" si="23"/>
        <v>0</v>
      </c>
      <c r="I260" s="9"/>
    </row>
    <row r="261" spans="1:8" ht="12.75" hidden="1">
      <c r="A261" t="s">
        <v>232</v>
      </c>
      <c r="B261" t="s">
        <v>233</v>
      </c>
      <c r="C261" s="9">
        <v>3000</v>
      </c>
      <c r="D261" s="9">
        <v>3000</v>
      </c>
      <c r="E261" s="9">
        <v>3000</v>
      </c>
      <c r="F261" s="9">
        <v>3000</v>
      </c>
      <c r="G261" s="9">
        <f t="shared" si="22"/>
        <v>0</v>
      </c>
      <c r="H261" s="10">
        <f t="shared" si="23"/>
        <v>0</v>
      </c>
    </row>
    <row r="262" spans="1:8" ht="12.75" hidden="1">
      <c r="A262" t="s">
        <v>234</v>
      </c>
      <c r="B262" t="s">
        <v>235</v>
      </c>
      <c r="C262" s="9">
        <v>19850</v>
      </c>
      <c r="D262" s="9">
        <v>19850</v>
      </c>
      <c r="E262" s="9">
        <v>19850</v>
      </c>
      <c r="F262" s="9">
        <v>19850</v>
      </c>
      <c r="G262" s="9">
        <f t="shared" si="22"/>
        <v>0</v>
      </c>
      <c r="H262" s="10">
        <f t="shared" si="23"/>
        <v>0</v>
      </c>
    </row>
    <row r="263" spans="1:8" ht="12.75" hidden="1">
      <c r="A263" t="s">
        <v>236</v>
      </c>
      <c r="B263" t="s">
        <v>237</v>
      </c>
      <c r="C263" s="9">
        <v>2000</v>
      </c>
      <c r="D263" s="9">
        <v>2000</v>
      </c>
      <c r="E263" s="9">
        <v>2000</v>
      </c>
      <c r="F263" s="9">
        <v>2000</v>
      </c>
      <c r="G263" s="9">
        <f t="shared" si="22"/>
        <v>0</v>
      </c>
      <c r="H263" s="10">
        <f t="shared" si="23"/>
        <v>0</v>
      </c>
    </row>
    <row r="264" spans="1:8" ht="12.75" hidden="1">
      <c r="A264" t="s">
        <v>238</v>
      </c>
      <c r="B264" t="s">
        <v>239</v>
      </c>
      <c r="C264" s="9">
        <v>9150</v>
      </c>
      <c r="D264" s="9">
        <v>9150</v>
      </c>
      <c r="E264" s="9">
        <v>9150</v>
      </c>
      <c r="F264" s="9">
        <v>9150</v>
      </c>
      <c r="G264" s="9">
        <f t="shared" si="22"/>
        <v>0</v>
      </c>
      <c r="H264" s="10">
        <f t="shared" si="23"/>
        <v>0</v>
      </c>
    </row>
    <row r="265" spans="1:8" ht="12.75" hidden="1">
      <c r="A265" t="s">
        <v>240</v>
      </c>
      <c r="B265" t="s">
        <v>241</v>
      </c>
      <c r="C265" s="9">
        <v>1500</v>
      </c>
      <c r="D265" s="9">
        <v>1500</v>
      </c>
      <c r="E265" s="9">
        <v>1500</v>
      </c>
      <c r="F265" s="9">
        <v>1500</v>
      </c>
      <c r="G265" s="9">
        <f t="shared" si="22"/>
        <v>0</v>
      </c>
      <c r="H265" s="10">
        <f t="shared" si="23"/>
        <v>0</v>
      </c>
    </row>
    <row r="266" spans="1:8" ht="12.75" hidden="1">
      <c r="A266" t="s">
        <v>242</v>
      </c>
      <c r="B266" t="s">
        <v>243</v>
      </c>
      <c r="C266" s="9">
        <v>500</v>
      </c>
      <c r="D266" s="9">
        <v>500</v>
      </c>
      <c r="E266" s="9">
        <v>1500</v>
      </c>
      <c r="F266" s="9">
        <v>1500</v>
      </c>
      <c r="G266" s="9">
        <f t="shared" si="22"/>
        <v>1000</v>
      </c>
      <c r="H266" s="10">
        <f t="shared" si="23"/>
        <v>2</v>
      </c>
    </row>
    <row r="267" spans="2:8" ht="12.75" hidden="1">
      <c r="B267" t="s">
        <v>159</v>
      </c>
      <c r="C267" s="9">
        <v>2000</v>
      </c>
      <c r="D267" s="9">
        <v>2000</v>
      </c>
      <c r="E267" s="9">
        <v>2000</v>
      </c>
      <c r="F267" s="9">
        <v>2000</v>
      </c>
      <c r="G267" s="9">
        <f t="shared" si="22"/>
        <v>0</v>
      </c>
      <c r="H267" s="10">
        <f t="shared" si="23"/>
        <v>0</v>
      </c>
    </row>
    <row r="268" spans="2:8" ht="12.75" hidden="1">
      <c r="B268" t="s">
        <v>45</v>
      </c>
      <c r="C268" s="9">
        <v>13000</v>
      </c>
      <c r="D268" s="9">
        <v>13000</v>
      </c>
      <c r="E268" s="9">
        <v>13000</v>
      </c>
      <c r="F268" s="9">
        <v>13000</v>
      </c>
      <c r="G268" s="9">
        <f t="shared" si="22"/>
        <v>0</v>
      </c>
      <c r="H268" s="10">
        <f t="shared" si="23"/>
        <v>0</v>
      </c>
    </row>
    <row r="269" spans="1:8" ht="12.75" hidden="1">
      <c r="A269" t="s">
        <v>244</v>
      </c>
      <c r="B269" t="s">
        <v>58</v>
      </c>
      <c r="C269" s="9"/>
      <c r="D269" s="9"/>
      <c r="E269" s="9"/>
      <c r="F269" s="9"/>
      <c r="G269" s="9">
        <f t="shared" si="22"/>
        <v>0</v>
      </c>
      <c r="H269" s="10" t="e">
        <f t="shared" si="23"/>
        <v>#DIV/0!</v>
      </c>
    </row>
    <row r="270" spans="2:8" ht="12.75">
      <c r="B270" s="8" t="s">
        <v>18</v>
      </c>
      <c r="C270" s="11">
        <f>SUM(C255:C269)</f>
        <v>170950</v>
      </c>
      <c r="D270" s="11">
        <f>SUM(D255:D269)</f>
        <v>150400</v>
      </c>
      <c r="E270" s="11">
        <f>SUM(E255:E269)</f>
        <v>149400</v>
      </c>
      <c r="F270" s="11">
        <f>SUM(F255:F269)</f>
        <v>142400</v>
      </c>
      <c r="G270" s="11">
        <f>SUM(G255:G269)</f>
        <v>-8000</v>
      </c>
      <c r="H270" s="12">
        <f>G270/D270</f>
        <v>-0.05319148936170213</v>
      </c>
    </row>
    <row r="271" spans="3:8" ht="12.75" hidden="1">
      <c r="C271" s="9"/>
      <c r="D271" s="9"/>
      <c r="E271" s="9"/>
      <c r="F271" s="9"/>
      <c r="G271" s="9"/>
      <c r="H271" s="10"/>
    </row>
    <row r="272" spans="1:8" ht="12.75" hidden="1">
      <c r="A272" t="s">
        <v>245</v>
      </c>
      <c r="B272" t="s">
        <v>47</v>
      </c>
      <c r="C272" s="9">
        <v>5000</v>
      </c>
      <c r="D272" s="9">
        <v>5000</v>
      </c>
      <c r="E272" s="9">
        <v>5000</v>
      </c>
      <c r="F272" s="9">
        <v>5000</v>
      </c>
      <c r="G272" s="9">
        <f>F272-D272</f>
        <v>0</v>
      </c>
      <c r="H272" s="10">
        <f>G272/D272</f>
        <v>0</v>
      </c>
    </row>
    <row r="273" spans="1:8" ht="12.75" hidden="1">
      <c r="A273" t="s">
        <v>246</v>
      </c>
      <c r="B273" t="s">
        <v>247</v>
      </c>
      <c r="C273" s="9">
        <v>3000</v>
      </c>
      <c r="D273" s="9">
        <v>3000</v>
      </c>
      <c r="E273" s="9">
        <v>3000</v>
      </c>
      <c r="F273" s="9">
        <v>3000</v>
      </c>
      <c r="G273" s="9">
        <f>F273-D273</f>
        <v>0</v>
      </c>
      <c r="H273" s="10">
        <f>G273/D273</f>
        <v>0</v>
      </c>
    </row>
    <row r="274" spans="1:8" ht="12.75" hidden="1">
      <c r="A274" t="s">
        <v>248</v>
      </c>
      <c r="B274" t="s">
        <v>106</v>
      </c>
      <c r="C274" s="9">
        <v>55000</v>
      </c>
      <c r="D274" s="9">
        <v>55000</v>
      </c>
      <c r="E274" s="9">
        <v>55000</v>
      </c>
      <c r="F274" s="9">
        <v>55000</v>
      </c>
      <c r="G274" s="9">
        <f>F274-D274</f>
        <v>0</v>
      </c>
      <c r="H274" s="10">
        <f>G274/D274</f>
        <v>0</v>
      </c>
    </row>
    <row r="275" spans="1:8" ht="12.75" hidden="1">
      <c r="A275" t="s">
        <v>249</v>
      </c>
      <c r="B275" t="s">
        <v>60</v>
      </c>
      <c r="C275" s="9">
        <v>4500</v>
      </c>
      <c r="D275" s="9">
        <v>3500</v>
      </c>
      <c r="E275" s="9">
        <v>3500</v>
      </c>
      <c r="F275" s="9">
        <v>3500</v>
      </c>
      <c r="G275" s="9">
        <f>F275-D275</f>
        <v>0</v>
      </c>
      <c r="H275" s="10">
        <f>G275/D275</f>
        <v>0</v>
      </c>
    </row>
    <row r="276" spans="2:8" ht="12.75">
      <c r="B276" s="8" t="s">
        <v>48</v>
      </c>
      <c r="C276" s="11">
        <f>SUM(C272:C275)</f>
        <v>67500</v>
      </c>
      <c r="D276" s="11">
        <f>SUM(D272:D275)</f>
        <v>66500</v>
      </c>
      <c r="E276" s="11">
        <f>SUM(E272:E275)</f>
        <v>66500</v>
      </c>
      <c r="F276" s="11">
        <f>SUM(F272:F275)</f>
        <v>66500</v>
      </c>
      <c r="G276" s="11">
        <f>SUM(G272:G275)</f>
        <v>0</v>
      </c>
      <c r="H276" s="12">
        <f>G276/D276</f>
        <v>0</v>
      </c>
    </row>
    <row r="277" spans="3:8" ht="12.75" hidden="1">
      <c r="C277" s="9"/>
      <c r="D277" s="9"/>
      <c r="E277" s="9"/>
      <c r="F277" s="9"/>
      <c r="G277" s="9"/>
      <c r="H277" s="10"/>
    </row>
    <row r="278" spans="1:8" ht="12.75" hidden="1">
      <c r="A278" t="s">
        <v>250</v>
      </c>
      <c r="B278" t="s">
        <v>20</v>
      </c>
      <c r="C278" s="9">
        <v>2000</v>
      </c>
      <c r="D278" s="9">
        <v>2000</v>
      </c>
      <c r="E278" s="9">
        <v>2000</v>
      </c>
      <c r="F278" s="9">
        <v>2000</v>
      </c>
      <c r="G278" s="9">
        <f>F278-D278</f>
        <v>0</v>
      </c>
      <c r="H278" s="10">
        <f>G278/D278</f>
        <v>0</v>
      </c>
    </row>
    <row r="279" spans="2:8" ht="12.75" hidden="1">
      <c r="B279" t="s">
        <v>51</v>
      </c>
      <c r="C279" s="9">
        <v>7460</v>
      </c>
      <c r="D279" s="9">
        <v>7460</v>
      </c>
      <c r="E279" s="9">
        <v>7460</v>
      </c>
      <c r="F279" s="9">
        <v>7460</v>
      </c>
      <c r="G279" s="9">
        <f>F279-D279</f>
        <v>0</v>
      </c>
      <c r="H279" s="10">
        <f>G279/D279</f>
        <v>0</v>
      </c>
    </row>
    <row r="280" spans="2:8" ht="12.75" hidden="1">
      <c r="B280" t="s">
        <v>60</v>
      </c>
      <c r="C280" s="9"/>
      <c r="D280" s="9"/>
      <c r="E280" s="9"/>
      <c r="F280" s="9"/>
      <c r="G280" s="9">
        <f>F280-D280</f>
        <v>0</v>
      </c>
      <c r="H280" s="10" t="e">
        <f>G280/D280</f>
        <v>#DIV/0!</v>
      </c>
    </row>
    <row r="281" spans="2:8" ht="12.75">
      <c r="B281" s="8" t="s">
        <v>22</v>
      </c>
      <c r="C281" s="11">
        <f>SUM(C278:C280)</f>
        <v>9460</v>
      </c>
      <c r="D281" s="11">
        <f>SUM(D278:D280)</f>
        <v>9460</v>
      </c>
      <c r="E281" s="11">
        <f>SUM(E278:E280)</f>
        <v>9460</v>
      </c>
      <c r="F281" s="11">
        <f>SUM(F278:F280)</f>
        <v>9460</v>
      </c>
      <c r="G281" s="11">
        <f>SUM(G278:G280)</f>
        <v>0</v>
      </c>
      <c r="H281" s="12">
        <f>G281/D281</f>
        <v>0</v>
      </c>
    </row>
    <row r="282" spans="3:8" ht="12.75" hidden="1">
      <c r="C282" s="19"/>
      <c r="D282" s="19"/>
      <c r="E282" s="19"/>
      <c r="F282" s="19"/>
      <c r="G282" s="9"/>
      <c r="H282" s="19"/>
    </row>
    <row r="283" spans="2:8" ht="12.75" hidden="1">
      <c r="B283" t="s">
        <v>251</v>
      </c>
      <c r="C283" s="9">
        <f>18231+24000+33400+12000+15000+12000</f>
        <v>114631</v>
      </c>
      <c r="D283" s="9">
        <v>35231</v>
      </c>
      <c r="E283" s="9">
        <v>71678</v>
      </c>
      <c r="F283" s="9">
        <v>57818</v>
      </c>
      <c r="G283" s="9">
        <f>F283-D283</f>
        <v>22587</v>
      </c>
      <c r="H283" s="10">
        <f>G283/D283</f>
        <v>0.6411115211035736</v>
      </c>
    </row>
    <row r="284" spans="2:8" ht="12.75">
      <c r="B284" s="8" t="s">
        <v>252</v>
      </c>
      <c r="C284" s="11">
        <f>SUM(C283)</f>
        <v>114631</v>
      </c>
      <c r="D284" s="11">
        <f>SUM(D283)</f>
        <v>35231</v>
      </c>
      <c r="E284" s="11">
        <f>SUM(E283)</f>
        <v>71678</v>
      </c>
      <c r="F284" s="11">
        <f>SUM(F283)</f>
        <v>57818</v>
      </c>
      <c r="G284" s="11">
        <f>SUM(G283)</f>
        <v>22587</v>
      </c>
      <c r="H284" s="12">
        <f>G284/D284</f>
        <v>0.6411115211035736</v>
      </c>
    </row>
    <row r="285" spans="3:8" ht="12.75" hidden="1">
      <c r="C285" s="13"/>
      <c r="D285" s="13"/>
      <c r="E285" s="13"/>
      <c r="F285" s="13"/>
      <c r="G285" s="13"/>
      <c r="H285" s="14"/>
    </row>
    <row r="286" spans="2:8" s="15" customFormat="1" ht="12.75">
      <c r="B286" s="16" t="s">
        <v>253</v>
      </c>
      <c r="C286" s="17">
        <f>SUM(C284+C281+C276+C270+C253)</f>
        <v>2480983</v>
      </c>
      <c r="D286" s="17">
        <f>SUM(D284+D281+D276+D270+D253)</f>
        <v>2235700.475</v>
      </c>
      <c r="E286" s="17">
        <f>SUM(E284+E281+E276+E270+E253)</f>
        <v>2404983</v>
      </c>
      <c r="F286" s="17">
        <f>SUM(F284+F281+F276+F270+F253)</f>
        <v>2399547.51675</v>
      </c>
      <c r="G286" s="17">
        <f>SUM(G284+G281+G276+G270+G253)</f>
        <v>163847.04174999995</v>
      </c>
      <c r="H286" s="18">
        <f>G286/D286</f>
        <v>0.07328666947212593</v>
      </c>
    </row>
    <row r="287" spans="3:7" ht="12.75">
      <c r="C287" s="7"/>
      <c r="D287" s="7"/>
      <c r="E287" s="7"/>
      <c r="F287" s="7"/>
      <c r="G287" s="13"/>
    </row>
    <row r="288" spans="2:8" ht="12.75">
      <c r="B288" s="8" t="s">
        <v>254</v>
      </c>
      <c r="C288" s="9"/>
      <c r="D288" s="9"/>
      <c r="E288" s="9"/>
      <c r="F288" s="9"/>
      <c r="G288" s="19"/>
      <c r="H288" s="19"/>
    </row>
    <row r="289" spans="1:8" ht="12.75" hidden="1">
      <c r="A289" t="s">
        <v>255</v>
      </c>
      <c r="B289" t="s">
        <v>256</v>
      </c>
      <c r="C289" s="9">
        <v>91789</v>
      </c>
      <c r="D289" s="9">
        <v>91789</v>
      </c>
      <c r="E289" s="9">
        <v>91789</v>
      </c>
      <c r="F289" s="9">
        <v>94543</v>
      </c>
      <c r="G289" s="9">
        <f aca="true" t="shared" si="24" ref="G289:G301">F289-D289</f>
        <v>2754</v>
      </c>
      <c r="H289" s="10">
        <f aca="true" t="shared" si="25" ref="H289:H301">G289/D289</f>
        <v>0.03000359520203946</v>
      </c>
    </row>
    <row r="290" spans="1:13" ht="12.75" hidden="1">
      <c r="A290" t="s">
        <v>257</v>
      </c>
      <c r="B290" t="s">
        <v>258</v>
      </c>
      <c r="C290" s="9">
        <v>313704</v>
      </c>
      <c r="D290" s="9">
        <v>313704</v>
      </c>
      <c r="E290" s="9">
        <v>313704</v>
      </c>
      <c r="F290" s="9">
        <v>380476</v>
      </c>
      <c r="G290" s="9">
        <f t="shared" si="24"/>
        <v>66772</v>
      </c>
      <c r="H290" s="10">
        <f t="shared" si="25"/>
        <v>0.21285033024762195</v>
      </c>
      <c r="M290">
        <v>1751.28</v>
      </c>
    </row>
    <row r="291" spans="1:13" ht="12.75" hidden="1">
      <c r="A291" t="s">
        <v>259</v>
      </c>
      <c r="B291" t="s">
        <v>260</v>
      </c>
      <c r="C291" s="9">
        <v>20000</v>
      </c>
      <c r="D291" s="9">
        <v>17000</v>
      </c>
      <c r="E291" s="9">
        <v>17000</v>
      </c>
      <c r="F291" s="9">
        <v>15000</v>
      </c>
      <c r="G291" s="9">
        <f t="shared" si="24"/>
        <v>-2000</v>
      </c>
      <c r="H291" s="10">
        <f t="shared" si="25"/>
        <v>-0.11764705882352941</v>
      </c>
      <c r="M291">
        <v>6</v>
      </c>
    </row>
    <row r="292" spans="2:8" ht="12.75" hidden="1">
      <c r="B292" t="s">
        <v>261</v>
      </c>
      <c r="C292" s="9">
        <v>67000</v>
      </c>
      <c r="D292" s="9">
        <v>53650</v>
      </c>
      <c r="E292" s="9">
        <v>53650</v>
      </c>
      <c r="F292" s="9">
        <v>53650</v>
      </c>
      <c r="G292" s="9">
        <f t="shared" si="24"/>
        <v>0</v>
      </c>
      <c r="H292" s="10">
        <f t="shared" si="25"/>
        <v>0</v>
      </c>
    </row>
    <row r="293" spans="2:8" ht="12.75" hidden="1">
      <c r="B293" t="s">
        <v>262</v>
      </c>
      <c r="C293" s="9">
        <v>41068</v>
      </c>
      <c r="D293" s="9">
        <v>41068</v>
      </c>
      <c r="E293" s="9">
        <v>41068</v>
      </c>
      <c r="F293" s="9">
        <v>43334</v>
      </c>
      <c r="G293" s="9">
        <f t="shared" si="24"/>
        <v>2266</v>
      </c>
      <c r="H293" s="10">
        <f t="shared" si="25"/>
        <v>0.05517677997467615</v>
      </c>
    </row>
    <row r="294" spans="1:13" ht="12.75" hidden="1">
      <c r="A294" t="s">
        <v>263</v>
      </c>
      <c r="B294" t="s">
        <v>264</v>
      </c>
      <c r="C294" s="9">
        <v>426000</v>
      </c>
      <c r="D294" s="9">
        <f>426000-30428+14401</f>
        <v>409973</v>
      </c>
      <c r="E294" s="9">
        <v>425000</v>
      </c>
      <c r="F294" s="9">
        <v>403573</v>
      </c>
      <c r="G294" s="9">
        <f t="shared" si="24"/>
        <v>-6400</v>
      </c>
      <c r="H294" s="10">
        <f t="shared" si="25"/>
        <v>-0.015610784124808218</v>
      </c>
      <c r="M294">
        <f>M290*M291</f>
        <v>10507.68</v>
      </c>
    </row>
    <row r="295" spans="1:8" ht="12.75" hidden="1">
      <c r="A295" t="s">
        <v>265</v>
      </c>
      <c r="B295" t="s">
        <v>266</v>
      </c>
      <c r="C295" s="9">
        <v>65000</v>
      </c>
      <c r="D295" s="9">
        <v>55000</v>
      </c>
      <c r="E295" s="9">
        <v>60000</v>
      </c>
      <c r="F295" s="9">
        <f>55000*1.05575</f>
        <v>58066.25</v>
      </c>
      <c r="G295" s="9">
        <f t="shared" si="24"/>
        <v>3066.25</v>
      </c>
      <c r="H295" s="10">
        <f t="shared" si="25"/>
        <v>0.05575</v>
      </c>
    </row>
    <row r="296" spans="1:8" ht="12.75" hidden="1">
      <c r="A296" t="s">
        <v>267</v>
      </c>
      <c r="B296" t="s">
        <v>268</v>
      </c>
      <c r="C296" s="9">
        <v>20000</v>
      </c>
      <c r="D296" s="9">
        <v>16720</v>
      </c>
      <c r="E296" s="9">
        <v>16720</v>
      </c>
      <c r="F296" s="9">
        <v>15652</v>
      </c>
      <c r="G296" s="9">
        <f t="shared" si="24"/>
        <v>-1068</v>
      </c>
      <c r="H296" s="10">
        <f t="shared" si="25"/>
        <v>-0.0638755980861244</v>
      </c>
    </row>
    <row r="297" spans="2:8" ht="12.75" hidden="1">
      <c r="B297" s="20" t="s">
        <v>74</v>
      </c>
      <c r="C297" s="9">
        <v>2000</v>
      </c>
      <c r="D297" s="9">
        <v>2000</v>
      </c>
      <c r="E297" s="9">
        <v>3500</v>
      </c>
      <c r="F297" s="9">
        <v>3500</v>
      </c>
      <c r="G297" s="9">
        <f>F297-D297</f>
        <v>1500</v>
      </c>
      <c r="H297" s="10">
        <f t="shared" si="25"/>
        <v>0.75</v>
      </c>
    </row>
    <row r="298" spans="1:8" ht="12.75" hidden="1">
      <c r="A298" t="s">
        <v>269</v>
      </c>
      <c r="B298" t="s">
        <v>270</v>
      </c>
      <c r="C298" s="9">
        <v>6500</v>
      </c>
      <c r="D298" s="9">
        <v>6000</v>
      </c>
      <c r="E298" s="9">
        <v>6000</v>
      </c>
      <c r="F298" s="9">
        <f>6000*1.05575</f>
        <v>6334.5</v>
      </c>
      <c r="G298" s="9">
        <f t="shared" si="24"/>
        <v>334.5</v>
      </c>
      <c r="H298" s="10">
        <f t="shared" si="25"/>
        <v>0.05575</v>
      </c>
    </row>
    <row r="299" spans="1:8" ht="12.75" hidden="1">
      <c r="A299" t="s">
        <v>271</v>
      </c>
      <c r="B299" t="s">
        <v>272</v>
      </c>
      <c r="C299" s="9">
        <v>10900</v>
      </c>
      <c r="D299" s="9">
        <v>10900</v>
      </c>
      <c r="E299" s="9">
        <v>10900</v>
      </c>
      <c r="F299" s="9">
        <v>10900</v>
      </c>
      <c r="G299" s="9">
        <f t="shared" si="24"/>
        <v>0</v>
      </c>
      <c r="H299" s="10">
        <f t="shared" si="25"/>
        <v>0</v>
      </c>
    </row>
    <row r="300" spans="1:8" ht="12.75" hidden="1">
      <c r="A300" t="s">
        <v>273</v>
      </c>
      <c r="B300" t="s">
        <v>274</v>
      </c>
      <c r="C300" s="9">
        <v>19500</v>
      </c>
      <c r="D300" s="9">
        <v>19500</v>
      </c>
      <c r="E300" s="9">
        <v>19500</v>
      </c>
      <c r="F300" s="9">
        <v>19500</v>
      </c>
      <c r="G300" s="9">
        <f t="shared" si="24"/>
        <v>0</v>
      </c>
      <c r="H300" s="10">
        <f t="shared" si="25"/>
        <v>0</v>
      </c>
    </row>
    <row r="301" spans="1:8" ht="12.75" hidden="1">
      <c r="A301" t="s">
        <v>275</v>
      </c>
      <c r="B301" t="s">
        <v>276</v>
      </c>
      <c r="C301" s="9">
        <v>24800</v>
      </c>
      <c r="D301" s="9">
        <v>24800</v>
      </c>
      <c r="E301" s="9">
        <v>24800</v>
      </c>
      <c r="F301" s="9">
        <v>22800</v>
      </c>
      <c r="G301" s="9">
        <f t="shared" si="24"/>
        <v>-2000</v>
      </c>
      <c r="H301" s="10">
        <f t="shared" si="25"/>
        <v>-0.08064516129032258</v>
      </c>
    </row>
    <row r="302" spans="2:8" ht="12.75">
      <c r="B302" s="8" t="s">
        <v>15</v>
      </c>
      <c r="C302" s="11">
        <f>SUM(C289:C301)</f>
        <v>1108261</v>
      </c>
      <c r="D302" s="11">
        <f>SUM(D289:D301)</f>
        <v>1062104</v>
      </c>
      <c r="E302" s="11">
        <f>SUM(E289:E301)</f>
        <v>1083631</v>
      </c>
      <c r="F302" s="11">
        <f>SUM(F289:F301)</f>
        <v>1127328.75</v>
      </c>
      <c r="G302" s="11">
        <f>SUM(G289:G301)</f>
        <v>65224.75</v>
      </c>
      <c r="H302" s="12">
        <f>G302/D302</f>
        <v>0.06141088819927239</v>
      </c>
    </row>
    <row r="303" spans="3:8" ht="12.75" hidden="1">
      <c r="C303" s="9"/>
      <c r="D303" s="9"/>
      <c r="E303" s="9"/>
      <c r="F303" s="9"/>
      <c r="G303" s="9"/>
      <c r="H303" s="10"/>
    </row>
    <row r="304" spans="1:8" ht="12.75" hidden="1">
      <c r="A304" t="s">
        <v>277</v>
      </c>
      <c r="B304" t="s">
        <v>278</v>
      </c>
      <c r="C304" s="9">
        <v>14000</v>
      </c>
      <c r="D304" s="9">
        <v>12000</v>
      </c>
      <c r="E304" s="9">
        <v>13500</v>
      </c>
      <c r="F304" s="9">
        <v>12000</v>
      </c>
      <c r="G304" s="9">
        <f aca="true" t="shared" si="26" ref="G304:G315">F304-D304</f>
        <v>0</v>
      </c>
      <c r="H304" s="10">
        <f aca="true" t="shared" si="27" ref="H304:H315">G304/D304</f>
        <v>0</v>
      </c>
    </row>
    <row r="305" spans="2:8" ht="12.75" hidden="1">
      <c r="B305" t="s">
        <v>279</v>
      </c>
      <c r="C305" s="9">
        <v>650</v>
      </c>
      <c r="D305" s="9">
        <v>650</v>
      </c>
      <c r="E305" s="9">
        <v>700</v>
      </c>
      <c r="F305" s="9">
        <v>700</v>
      </c>
      <c r="G305" s="9">
        <f t="shared" si="26"/>
        <v>50</v>
      </c>
      <c r="H305" s="10">
        <f t="shared" si="27"/>
        <v>0.07692307692307693</v>
      </c>
    </row>
    <row r="306" spans="2:8" ht="12.75" hidden="1">
      <c r="B306" t="s">
        <v>280</v>
      </c>
      <c r="C306" s="9">
        <v>14500</v>
      </c>
      <c r="D306" s="9">
        <v>14000</v>
      </c>
      <c r="E306" s="9">
        <v>15500</v>
      </c>
      <c r="F306" s="9">
        <v>15000</v>
      </c>
      <c r="G306" s="9">
        <f t="shared" si="26"/>
        <v>1000</v>
      </c>
      <c r="H306" s="10">
        <f t="shared" si="27"/>
        <v>0.07142857142857142</v>
      </c>
    </row>
    <row r="307" spans="1:8" ht="12.75" hidden="1">
      <c r="A307" t="s">
        <v>281</v>
      </c>
      <c r="B307" t="s">
        <v>282</v>
      </c>
      <c r="C307" s="9">
        <v>35000</v>
      </c>
      <c r="D307" s="9">
        <v>35000</v>
      </c>
      <c r="E307" s="9">
        <v>40000</v>
      </c>
      <c r="F307" s="9">
        <v>30000</v>
      </c>
      <c r="G307" s="9">
        <f t="shared" si="26"/>
        <v>-5000</v>
      </c>
      <c r="H307" s="10">
        <f t="shared" si="27"/>
        <v>-0.14285714285714285</v>
      </c>
    </row>
    <row r="308" spans="2:8" ht="12.75" hidden="1">
      <c r="B308" t="s">
        <v>228</v>
      </c>
      <c r="C308" s="9">
        <v>30000</v>
      </c>
      <c r="D308" s="9">
        <v>25000</v>
      </c>
      <c r="E308" s="9">
        <v>30000</v>
      </c>
      <c r="F308" s="9">
        <v>30000</v>
      </c>
      <c r="G308" s="9">
        <f t="shared" si="26"/>
        <v>5000</v>
      </c>
      <c r="H308" s="10">
        <f t="shared" si="27"/>
        <v>0.2</v>
      </c>
    </row>
    <row r="309" spans="2:8" ht="12.75" hidden="1">
      <c r="B309" t="s">
        <v>230</v>
      </c>
      <c r="C309" s="9">
        <v>15000</v>
      </c>
      <c r="D309" s="9">
        <v>7000</v>
      </c>
      <c r="E309" s="9">
        <v>8000</v>
      </c>
      <c r="F309" s="9">
        <v>8000</v>
      </c>
      <c r="G309" s="9">
        <f t="shared" si="26"/>
        <v>1000</v>
      </c>
      <c r="H309" s="10">
        <f t="shared" si="27"/>
        <v>0.14285714285714285</v>
      </c>
    </row>
    <row r="310" spans="1:8" ht="12.75" hidden="1">
      <c r="A310" t="s">
        <v>283</v>
      </c>
      <c r="B310" t="s">
        <v>284</v>
      </c>
      <c r="C310" s="9">
        <v>2200</v>
      </c>
      <c r="D310" s="9">
        <v>2200</v>
      </c>
      <c r="E310" s="9">
        <v>2200</v>
      </c>
      <c r="F310" s="9">
        <v>2200</v>
      </c>
      <c r="G310" s="9">
        <f t="shared" si="26"/>
        <v>0</v>
      </c>
      <c r="H310" s="10">
        <f t="shared" si="27"/>
        <v>0</v>
      </c>
    </row>
    <row r="311" spans="1:8" ht="12.75" hidden="1">
      <c r="A311" t="s">
        <v>285</v>
      </c>
      <c r="B311" t="s">
        <v>286</v>
      </c>
      <c r="C311" s="9">
        <v>12000</v>
      </c>
      <c r="D311" s="9">
        <v>7000</v>
      </c>
      <c r="E311" s="9">
        <v>10000</v>
      </c>
      <c r="F311" s="9">
        <v>7000</v>
      </c>
      <c r="G311" s="9">
        <f t="shared" si="26"/>
        <v>0</v>
      </c>
      <c r="H311" s="10">
        <f t="shared" si="27"/>
        <v>0</v>
      </c>
    </row>
    <row r="312" spans="1:8" ht="12.75" hidden="1">
      <c r="A312" t="s">
        <v>287</v>
      </c>
      <c r="B312" t="s">
        <v>237</v>
      </c>
      <c r="C312" s="9">
        <v>15000</v>
      </c>
      <c r="D312" s="9">
        <v>7500</v>
      </c>
      <c r="E312" s="9">
        <v>8000</v>
      </c>
      <c r="F312" s="9">
        <v>8000</v>
      </c>
      <c r="G312" s="9">
        <f t="shared" si="26"/>
        <v>500</v>
      </c>
      <c r="H312" s="10">
        <f t="shared" si="27"/>
        <v>0.06666666666666667</v>
      </c>
    </row>
    <row r="313" spans="2:8" ht="12.75" hidden="1">
      <c r="B313" t="s">
        <v>288</v>
      </c>
      <c r="C313" s="9">
        <v>12000</v>
      </c>
      <c r="D313" s="9">
        <v>5000</v>
      </c>
      <c r="E313" s="9">
        <v>10000</v>
      </c>
      <c r="F313" s="9">
        <v>10000</v>
      </c>
      <c r="G313" s="9">
        <f t="shared" si="26"/>
        <v>5000</v>
      </c>
      <c r="H313" s="10">
        <f t="shared" si="27"/>
        <v>1</v>
      </c>
    </row>
    <row r="314" spans="1:8" ht="12.75" hidden="1">
      <c r="A314" t="s">
        <v>289</v>
      </c>
      <c r="B314" t="s">
        <v>45</v>
      </c>
      <c r="C314" s="9">
        <v>7000</v>
      </c>
      <c r="D314" s="9">
        <v>5500</v>
      </c>
      <c r="E314" s="9">
        <v>6000</v>
      </c>
      <c r="F314" s="9">
        <v>6000</v>
      </c>
      <c r="G314" s="9">
        <f t="shared" si="26"/>
        <v>500</v>
      </c>
      <c r="H314" s="10">
        <f t="shared" si="27"/>
        <v>0.09090909090909091</v>
      </c>
    </row>
    <row r="315" spans="2:8" ht="12.75" hidden="1">
      <c r="B315" t="s">
        <v>290</v>
      </c>
      <c r="C315" s="9">
        <v>15000</v>
      </c>
      <c r="D315" s="9">
        <v>10000</v>
      </c>
      <c r="E315" s="9">
        <v>10000</v>
      </c>
      <c r="F315" s="9">
        <v>10000</v>
      </c>
      <c r="G315" s="9">
        <f t="shared" si="26"/>
        <v>0</v>
      </c>
      <c r="H315" s="10">
        <f t="shared" si="27"/>
        <v>0</v>
      </c>
    </row>
    <row r="316" spans="2:8" ht="12.75">
      <c r="B316" s="8" t="s">
        <v>18</v>
      </c>
      <c r="C316" s="11">
        <f>SUM(C304:C315)</f>
        <v>172350</v>
      </c>
      <c r="D316" s="11">
        <f>SUM(D304:D315)</f>
        <v>130850</v>
      </c>
      <c r="E316" s="11">
        <f>SUM(E304:E315)</f>
        <v>153900</v>
      </c>
      <c r="F316" s="11">
        <f>SUM(F304:F315)</f>
        <v>138900</v>
      </c>
      <c r="G316" s="11">
        <f>SUM(G304:G315)</f>
        <v>8050</v>
      </c>
      <c r="H316" s="12">
        <f>G316/D316</f>
        <v>0.061520825372564</v>
      </c>
    </row>
    <row r="317" spans="3:8" ht="12.75" hidden="1">
      <c r="C317" s="9"/>
      <c r="D317" s="9"/>
      <c r="E317" s="9"/>
      <c r="F317" s="9"/>
      <c r="G317" s="9"/>
      <c r="H317" s="10"/>
    </row>
    <row r="318" spans="1:8" ht="12.75" hidden="1">
      <c r="A318" t="s">
        <v>291</v>
      </c>
      <c r="B318" t="s">
        <v>292</v>
      </c>
      <c r="C318" s="9">
        <v>6500</v>
      </c>
      <c r="D318" s="9">
        <v>6500</v>
      </c>
      <c r="E318" s="9">
        <v>7000</v>
      </c>
      <c r="F318" s="9">
        <v>5500</v>
      </c>
      <c r="G318" s="9">
        <f>F318-D318</f>
        <v>-1000</v>
      </c>
      <c r="H318" s="10">
        <f>G318/D318</f>
        <v>-0.15384615384615385</v>
      </c>
    </row>
    <row r="319" spans="1:8" ht="12.75" hidden="1">
      <c r="A319" t="s">
        <v>293</v>
      </c>
      <c r="B319" t="s">
        <v>294</v>
      </c>
      <c r="C319" s="9"/>
      <c r="D319" s="9"/>
      <c r="E319" s="9"/>
      <c r="F319" s="9"/>
      <c r="G319" s="9">
        <f>F319-D319</f>
        <v>0</v>
      </c>
      <c r="H319" s="10" t="e">
        <f>G319/D319</f>
        <v>#DIV/0!</v>
      </c>
    </row>
    <row r="320" spans="1:8" ht="12.75" hidden="1">
      <c r="A320" t="s">
        <v>295</v>
      </c>
      <c r="B320" t="s">
        <v>106</v>
      </c>
      <c r="C320" s="9">
        <v>15000</v>
      </c>
      <c r="D320" s="9">
        <v>15000</v>
      </c>
      <c r="E320" s="9">
        <v>15000</v>
      </c>
      <c r="F320" s="9">
        <v>15000</v>
      </c>
      <c r="G320" s="9">
        <f>F320-D320</f>
        <v>0</v>
      </c>
      <c r="H320" s="10">
        <f>G320/D320</f>
        <v>0</v>
      </c>
    </row>
    <row r="321" spans="2:8" ht="12.75">
      <c r="B321" s="8" t="s">
        <v>48</v>
      </c>
      <c r="C321" s="11">
        <f>SUM(C318:C320)</f>
        <v>21500</v>
      </c>
      <c r="D321" s="11">
        <f>SUM(D318:D320)</f>
        <v>21500</v>
      </c>
      <c r="E321" s="11">
        <f>SUM(E318:E320)</f>
        <v>22000</v>
      </c>
      <c r="F321" s="11">
        <f>SUM(F318:F320)</f>
        <v>20500</v>
      </c>
      <c r="G321" s="11">
        <f>SUM(G318:G320)</f>
        <v>-1000</v>
      </c>
      <c r="H321" s="12">
        <f>G321/D321</f>
        <v>-0.046511627906976744</v>
      </c>
    </row>
    <row r="322" spans="3:8" ht="12.75" hidden="1">
      <c r="C322" s="9"/>
      <c r="D322" s="9"/>
      <c r="E322" s="9"/>
      <c r="F322" s="9"/>
      <c r="G322" s="9"/>
      <c r="H322" s="10"/>
    </row>
    <row r="323" spans="1:8" ht="12.75" hidden="1">
      <c r="A323" t="s">
        <v>296</v>
      </c>
      <c r="B323" t="s">
        <v>20</v>
      </c>
      <c r="C323" s="9"/>
      <c r="D323" s="9"/>
      <c r="E323" s="9"/>
      <c r="F323" s="9"/>
      <c r="G323" s="9">
        <f>F323-D323</f>
        <v>0</v>
      </c>
      <c r="H323" s="10" t="e">
        <f>G323/D323</f>
        <v>#DIV/0!</v>
      </c>
    </row>
    <row r="324" spans="2:8" ht="12.75" hidden="1">
      <c r="B324" t="s">
        <v>51</v>
      </c>
      <c r="C324" s="9">
        <v>3000</v>
      </c>
      <c r="D324" s="9">
        <v>2500</v>
      </c>
      <c r="E324" s="9">
        <v>3000</v>
      </c>
      <c r="F324" s="9">
        <v>3000</v>
      </c>
      <c r="G324" s="9">
        <f>F324-D324</f>
        <v>500</v>
      </c>
      <c r="H324" s="10">
        <f>G324/D324</f>
        <v>0.2</v>
      </c>
    </row>
    <row r="325" spans="2:8" ht="12.75">
      <c r="B325" s="8" t="s">
        <v>22</v>
      </c>
      <c r="C325" s="11">
        <f>SUM(C323:C324)</f>
        <v>3000</v>
      </c>
      <c r="D325" s="11">
        <f>SUM(D323:D324)</f>
        <v>2500</v>
      </c>
      <c r="E325" s="11">
        <f>SUM(E323:E324)</f>
        <v>3000</v>
      </c>
      <c r="F325" s="11">
        <f>SUM(F323:F324)</f>
        <v>3000</v>
      </c>
      <c r="G325" s="11">
        <f>SUM(G323:G324)</f>
        <v>500</v>
      </c>
      <c r="H325" s="12">
        <f>G325/D325</f>
        <v>0.2</v>
      </c>
    </row>
    <row r="326" spans="3:8" ht="12.75" hidden="1">
      <c r="C326" s="9"/>
      <c r="D326" s="9"/>
      <c r="E326" s="9"/>
      <c r="F326" s="9"/>
      <c r="G326" s="9"/>
      <c r="H326" s="10"/>
    </row>
    <row r="327" spans="2:8" ht="12.75" hidden="1">
      <c r="B327" t="s">
        <v>297</v>
      </c>
      <c r="C327" s="9">
        <v>57407</v>
      </c>
      <c r="D327" s="9">
        <v>57407</v>
      </c>
      <c r="E327" s="9">
        <v>22000</v>
      </c>
      <c r="F327" s="9">
        <v>0</v>
      </c>
      <c r="G327" s="9">
        <f>F327-D327</f>
        <v>-57407</v>
      </c>
      <c r="H327" s="10">
        <f>G327/D327</f>
        <v>-1</v>
      </c>
    </row>
    <row r="328" spans="2:8" ht="12.75">
      <c r="B328" s="8" t="s">
        <v>65</v>
      </c>
      <c r="C328" s="11">
        <f>SUM(C327:C327)</f>
        <v>57407</v>
      </c>
      <c r="D328" s="11">
        <f>SUM(D327:D327)</f>
        <v>57407</v>
      </c>
      <c r="E328" s="11">
        <f>SUM(E327:E327)</f>
        <v>22000</v>
      </c>
      <c r="F328" s="11">
        <f>SUM(F327:F327)</f>
        <v>0</v>
      </c>
      <c r="G328" s="11">
        <f>SUM(G327:G327)</f>
        <v>-57407</v>
      </c>
      <c r="H328" s="12">
        <f>G328/D328</f>
        <v>-1</v>
      </c>
    </row>
    <row r="329" spans="3:8" ht="12.75" hidden="1">
      <c r="C329" s="13"/>
      <c r="D329" s="13"/>
      <c r="E329" s="13"/>
      <c r="F329" s="13"/>
      <c r="G329" s="13"/>
      <c r="H329" s="14"/>
    </row>
    <row r="330" spans="2:8" s="15" customFormat="1" ht="12.75">
      <c r="B330" s="16" t="s">
        <v>298</v>
      </c>
      <c r="C330" s="17">
        <f>SUM(C328+C325+C321+C316+C302)</f>
        <v>1362518</v>
      </c>
      <c r="D330" s="17">
        <f>SUM(D328+D325+D321+D316+D302)</f>
        <v>1274361</v>
      </c>
      <c r="E330" s="17">
        <f>SUM(E328+E325+E321+E316+E302)</f>
        <v>1284531</v>
      </c>
      <c r="F330" s="17">
        <f>SUM(F328+F325+F321+F316+F302)</f>
        <v>1289728.75</v>
      </c>
      <c r="G330" s="17">
        <f>SUM(G328+G325+G321+G316+G302)</f>
        <v>15367.75</v>
      </c>
      <c r="H330" s="18">
        <f>G330/D330</f>
        <v>0.01205918103269011</v>
      </c>
    </row>
    <row r="331" spans="3:7" ht="12.75">
      <c r="C331" s="28"/>
      <c r="D331" s="28"/>
      <c r="E331" s="28"/>
      <c r="F331" s="28"/>
      <c r="G331" s="13"/>
    </row>
    <row r="332" spans="2:8" ht="12.75">
      <c r="B332" s="8" t="s">
        <v>299</v>
      </c>
      <c r="C332" s="9"/>
      <c r="D332" s="9"/>
      <c r="E332" s="9"/>
      <c r="F332" s="9"/>
      <c r="G332" s="19"/>
      <c r="H332" s="19"/>
    </row>
    <row r="333" spans="2:8" ht="12.75" hidden="1">
      <c r="B333" t="s">
        <v>300</v>
      </c>
      <c r="C333" s="9"/>
      <c r="D333" s="9"/>
      <c r="E333" s="9"/>
      <c r="F333" s="9"/>
      <c r="G333" s="9">
        <f>F333-D333</f>
        <v>0</v>
      </c>
      <c r="H333" s="10" t="e">
        <f>G333/D333</f>
        <v>#DIV/0!</v>
      </c>
    </row>
    <row r="334" spans="2:8" ht="12.75" hidden="1">
      <c r="B334" t="s">
        <v>301</v>
      </c>
      <c r="C334" s="9"/>
      <c r="D334" s="9"/>
      <c r="E334" s="9">
        <v>5000</v>
      </c>
      <c r="F334" s="9">
        <v>3000</v>
      </c>
      <c r="G334" s="9">
        <f>F334-D334</f>
        <v>3000</v>
      </c>
      <c r="H334" s="10" t="e">
        <f>G334/D334</f>
        <v>#DIV/0!</v>
      </c>
    </row>
    <row r="335" spans="2:8" ht="12.75" hidden="1">
      <c r="B335" t="s">
        <v>302</v>
      </c>
      <c r="C335" s="9">
        <v>1800</v>
      </c>
      <c r="D335" s="9">
        <v>1800</v>
      </c>
      <c r="E335" s="9">
        <v>1800</v>
      </c>
      <c r="F335" s="9">
        <v>1800</v>
      </c>
      <c r="G335" s="9">
        <f>F335-D335</f>
        <v>0</v>
      </c>
      <c r="H335" s="10">
        <f>G335/D335</f>
        <v>0</v>
      </c>
    </row>
    <row r="336" spans="2:8" ht="12.75">
      <c r="B336" s="8" t="s">
        <v>15</v>
      </c>
      <c r="C336" s="11">
        <f>SUM(C333:C335)</f>
        <v>1800</v>
      </c>
      <c r="D336" s="11">
        <f>SUM(D333:D335)</f>
        <v>1800</v>
      </c>
      <c r="E336" s="11">
        <f>SUM(E333:E335)</f>
        <v>6800</v>
      </c>
      <c r="F336" s="11">
        <f>SUM(F333:F335)</f>
        <v>4800</v>
      </c>
      <c r="G336" s="11">
        <f>SUM(G333:G335)</f>
        <v>3000</v>
      </c>
      <c r="H336" s="12">
        <f>G336/D336</f>
        <v>1.6666666666666667</v>
      </c>
    </row>
    <row r="337" spans="3:8" ht="12.75" hidden="1">
      <c r="C337" s="9"/>
      <c r="D337" s="9"/>
      <c r="E337" s="9"/>
      <c r="F337" s="9"/>
      <c r="G337" s="9"/>
      <c r="H337" s="10"/>
    </row>
    <row r="338" spans="2:8" ht="12.75" hidden="1">
      <c r="B338" t="s">
        <v>54</v>
      </c>
      <c r="C338" s="9">
        <v>600</v>
      </c>
      <c r="D338" s="9">
        <v>600</v>
      </c>
      <c r="E338" s="9">
        <v>600</v>
      </c>
      <c r="F338" s="9">
        <v>600</v>
      </c>
      <c r="G338" s="9">
        <f>F338-D338</f>
        <v>0</v>
      </c>
      <c r="H338" s="10">
        <f>G338/D338</f>
        <v>0</v>
      </c>
    </row>
    <row r="339" spans="2:8" ht="12.75" hidden="1">
      <c r="B339" s="20" t="s">
        <v>303</v>
      </c>
      <c r="C339" s="9"/>
      <c r="D339" s="9">
        <v>1600</v>
      </c>
      <c r="E339" s="9">
        <v>1600</v>
      </c>
      <c r="F339" s="9">
        <v>1600</v>
      </c>
      <c r="G339" s="9"/>
      <c r="H339" s="10">
        <f>G339/D339</f>
        <v>0</v>
      </c>
    </row>
    <row r="340" spans="2:8" ht="12.75">
      <c r="B340" s="8" t="s">
        <v>18</v>
      </c>
      <c r="C340" s="11">
        <f>SUM(C338:C339)</f>
        <v>600</v>
      </c>
      <c r="D340" s="11">
        <f>SUM(D338:D339)</f>
        <v>2200</v>
      </c>
      <c r="E340" s="11">
        <f>SUM(E338:E339)</f>
        <v>2200</v>
      </c>
      <c r="F340" s="11">
        <f>SUM(F338:F339)</f>
        <v>2200</v>
      </c>
      <c r="G340" s="11">
        <f>SUM(G338:G339)</f>
        <v>0</v>
      </c>
      <c r="H340" s="12">
        <f>G340/D340</f>
        <v>0</v>
      </c>
    </row>
    <row r="341" spans="3:8" ht="12.75" hidden="1">
      <c r="C341" s="9"/>
      <c r="D341" s="9"/>
      <c r="E341" s="9"/>
      <c r="F341" s="9"/>
      <c r="G341" s="9"/>
      <c r="H341" s="10"/>
    </row>
    <row r="342" spans="2:8" ht="12.75" hidden="1">
      <c r="B342" t="s">
        <v>47</v>
      </c>
      <c r="C342" s="9">
        <v>350</v>
      </c>
      <c r="D342" s="9">
        <v>350</v>
      </c>
      <c r="E342" s="9">
        <v>350</v>
      </c>
      <c r="F342" s="9">
        <v>350</v>
      </c>
      <c r="G342" s="9">
        <f>F342-D342</f>
        <v>0</v>
      </c>
      <c r="H342" s="10">
        <f>G342/D342</f>
        <v>0</v>
      </c>
    </row>
    <row r="343" spans="2:8" ht="12.75" hidden="1">
      <c r="B343" t="s">
        <v>304</v>
      </c>
      <c r="C343" s="9">
        <v>750</v>
      </c>
      <c r="D343" s="9">
        <v>750</v>
      </c>
      <c r="E343" s="9">
        <v>750</v>
      </c>
      <c r="F343" s="9">
        <v>750</v>
      </c>
      <c r="G343" s="9">
        <f>F343-D343</f>
        <v>0</v>
      </c>
      <c r="H343" s="10">
        <f>G343/D343</f>
        <v>0</v>
      </c>
    </row>
    <row r="344" spans="2:8" ht="12.75" hidden="1">
      <c r="B344" s="20" t="s">
        <v>305</v>
      </c>
      <c r="C344" s="9"/>
      <c r="D344" s="9">
        <v>1000</v>
      </c>
      <c r="E344" s="9">
        <v>1000</v>
      </c>
      <c r="F344" s="9">
        <v>1000</v>
      </c>
      <c r="G344" s="9">
        <f>F344-D344</f>
        <v>0</v>
      </c>
      <c r="H344" s="10">
        <f>G344/D344</f>
        <v>0</v>
      </c>
    </row>
    <row r="345" spans="2:8" ht="12.75" hidden="1">
      <c r="B345" t="s">
        <v>106</v>
      </c>
      <c r="C345" s="9">
        <v>500</v>
      </c>
      <c r="D345" s="9">
        <v>500</v>
      </c>
      <c r="E345" s="9">
        <v>500</v>
      </c>
      <c r="F345" s="9">
        <v>500</v>
      </c>
      <c r="G345" s="9">
        <f>F345-D345</f>
        <v>0</v>
      </c>
      <c r="H345" s="10">
        <f>G345/D345</f>
        <v>0</v>
      </c>
    </row>
    <row r="346" spans="2:8" ht="12.75">
      <c r="B346" s="8" t="s">
        <v>48</v>
      </c>
      <c r="C346" s="11">
        <f>SUM(C342:C345)</f>
        <v>1600</v>
      </c>
      <c r="D346" s="11">
        <f>SUM(D342:D345)</f>
        <v>2600</v>
      </c>
      <c r="E346" s="11">
        <f>SUM(E342:E345)</f>
        <v>2600</v>
      </c>
      <c r="F346" s="11">
        <f>SUM(F342:F345)</f>
        <v>2600</v>
      </c>
      <c r="G346" s="11">
        <f>SUM(G342:G345)</f>
        <v>0</v>
      </c>
      <c r="H346" s="12">
        <f>G346/D346</f>
        <v>0</v>
      </c>
    </row>
    <row r="347" spans="3:8" ht="12.75" hidden="1">
      <c r="C347" s="9"/>
      <c r="D347" s="9"/>
      <c r="E347" s="9"/>
      <c r="F347" s="9"/>
      <c r="G347" s="9"/>
      <c r="H347" s="10"/>
    </row>
    <row r="348" spans="2:8" ht="12.75" hidden="1">
      <c r="B348" t="s">
        <v>297</v>
      </c>
      <c r="C348" s="9"/>
      <c r="D348" s="9"/>
      <c r="E348" s="9"/>
      <c r="F348" s="9"/>
      <c r="G348" s="9">
        <f>F348-D348</f>
        <v>0</v>
      </c>
      <c r="H348" s="10" t="e">
        <f>G348/D348</f>
        <v>#DIV/0!</v>
      </c>
    </row>
    <row r="349" spans="2:8" ht="12.75">
      <c r="B349" s="8" t="s">
        <v>306</v>
      </c>
      <c r="C349" s="11">
        <f>SUM(C348)</f>
        <v>0</v>
      </c>
      <c r="D349" s="11">
        <f>SUM(D348)</f>
        <v>0</v>
      </c>
      <c r="E349" s="11">
        <f>SUM(E348)</f>
        <v>0</v>
      </c>
      <c r="F349" s="11">
        <f>SUM(F348)</f>
        <v>0</v>
      </c>
      <c r="G349" s="11">
        <f>SUM(G348)</f>
        <v>0</v>
      </c>
      <c r="H349" s="12" t="e">
        <f>G349/D349</f>
        <v>#DIV/0!</v>
      </c>
    </row>
    <row r="350" spans="3:8" ht="12.75" hidden="1">
      <c r="C350" s="13"/>
      <c r="D350" s="13"/>
      <c r="E350" s="13"/>
      <c r="F350" s="13"/>
      <c r="G350" s="13"/>
      <c r="H350" s="14"/>
    </row>
    <row r="351" spans="2:8" ht="12.75">
      <c r="B351" s="16" t="s">
        <v>307</v>
      </c>
      <c r="C351" s="17">
        <f>SUM(C349+C346+C340+C336)</f>
        <v>4000</v>
      </c>
      <c r="D351" s="17">
        <f>SUM(D349+D346+D340+D336)</f>
        <v>6600</v>
      </c>
      <c r="E351" s="17">
        <f>SUM(E349+E346+E340+E336)</f>
        <v>11600</v>
      </c>
      <c r="F351" s="17">
        <f>SUM(F349+F346+F340+F336)</f>
        <v>9600</v>
      </c>
      <c r="G351" s="17">
        <f>SUM(G349+G346+G340+G336)</f>
        <v>3000</v>
      </c>
      <c r="H351" s="18">
        <f>G351/D351</f>
        <v>0.45454545454545453</v>
      </c>
    </row>
    <row r="352" spans="3:7" ht="12.75">
      <c r="C352" s="7"/>
      <c r="D352" s="7"/>
      <c r="E352" s="7"/>
      <c r="F352" s="7"/>
      <c r="G352" s="13"/>
    </row>
    <row r="353" spans="2:8" ht="12.75">
      <c r="B353" s="8" t="s">
        <v>308</v>
      </c>
      <c r="C353" s="9"/>
      <c r="D353" s="9"/>
      <c r="E353" s="9"/>
      <c r="F353" s="9"/>
      <c r="G353" s="19"/>
      <c r="H353" s="19"/>
    </row>
    <row r="354" spans="1:8" ht="12.75" hidden="1">
      <c r="A354" t="s">
        <v>309</v>
      </c>
      <c r="B354" t="s">
        <v>310</v>
      </c>
      <c r="C354" s="29">
        <v>72405</v>
      </c>
      <c r="D354" s="29">
        <v>72405</v>
      </c>
      <c r="E354" s="29">
        <v>72405</v>
      </c>
      <c r="F354" s="29">
        <v>72405</v>
      </c>
      <c r="G354" s="9">
        <f aca="true" t="shared" si="28" ref="G354:G366">F354-D354</f>
        <v>0</v>
      </c>
      <c r="H354" s="10">
        <f aca="true" t="shared" si="29" ref="H354:H366">G354/D354</f>
        <v>0</v>
      </c>
    </row>
    <row r="355" spans="1:8" ht="12.75" hidden="1">
      <c r="A355" t="s">
        <v>311</v>
      </c>
      <c r="B355" t="s">
        <v>312</v>
      </c>
      <c r="C355" s="9"/>
      <c r="D355" s="9"/>
      <c r="E355" s="9"/>
      <c r="F355" s="9"/>
      <c r="G355" s="9">
        <f t="shared" si="28"/>
        <v>0</v>
      </c>
      <c r="H355" s="10" t="e">
        <f t="shared" si="29"/>
        <v>#DIV/0!</v>
      </c>
    </row>
    <row r="356" spans="2:8" ht="12.75" hidden="1">
      <c r="B356" s="19" t="s">
        <v>313</v>
      </c>
      <c r="C356" s="9"/>
      <c r="D356" s="9"/>
      <c r="E356" s="9"/>
      <c r="F356" s="9"/>
      <c r="G356" s="9">
        <f t="shared" si="28"/>
        <v>0</v>
      </c>
      <c r="H356" s="10" t="e">
        <f t="shared" si="29"/>
        <v>#DIV/0!</v>
      </c>
    </row>
    <row r="357" spans="1:8" ht="12.75" hidden="1">
      <c r="A357" t="s">
        <v>314</v>
      </c>
      <c r="B357" t="s">
        <v>315</v>
      </c>
      <c r="C357" s="9"/>
      <c r="D357" s="9"/>
      <c r="E357" s="9"/>
      <c r="F357" s="9"/>
      <c r="G357" s="9">
        <f t="shared" si="28"/>
        <v>0</v>
      </c>
      <c r="H357" s="10" t="e">
        <f t="shared" si="29"/>
        <v>#DIV/0!</v>
      </c>
    </row>
    <row r="358" spans="2:8" ht="12.75" hidden="1">
      <c r="B358" t="s">
        <v>316</v>
      </c>
      <c r="C358" s="9"/>
      <c r="D358" s="9"/>
      <c r="E358" s="9"/>
      <c r="F358" s="9"/>
      <c r="G358" s="9">
        <f t="shared" si="28"/>
        <v>0</v>
      </c>
      <c r="H358" s="10" t="e">
        <f t="shared" si="29"/>
        <v>#DIV/0!</v>
      </c>
    </row>
    <row r="359" spans="1:8" ht="12.75" hidden="1">
      <c r="A359" t="s">
        <v>317</v>
      </c>
      <c r="B359" t="s">
        <v>318</v>
      </c>
      <c r="C359" s="9"/>
      <c r="D359" s="9"/>
      <c r="E359" s="9"/>
      <c r="F359" s="9"/>
      <c r="G359" s="9">
        <f t="shared" si="28"/>
        <v>0</v>
      </c>
      <c r="H359" s="10" t="e">
        <f t="shared" si="29"/>
        <v>#DIV/0!</v>
      </c>
    </row>
    <row r="360" spans="2:8" ht="12.75" hidden="1">
      <c r="B360" s="19" t="s">
        <v>319</v>
      </c>
      <c r="C360" s="9"/>
      <c r="D360" s="9"/>
      <c r="E360" s="9"/>
      <c r="F360" s="9"/>
      <c r="G360" s="9">
        <f t="shared" si="28"/>
        <v>0</v>
      </c>
      <c r="H360" s="10" t="e">
        <f t="shared" si="29"/>
        <v>#DIV/0!</v>
      </c>
    </row>
    <row r="361" spans="2:8" ht="12.75" hidden="1">
      <c r="B361" t="s">
        <v>320</v>
      </c>
      <c r="C361" s="9">
        <v>1500</v>
      </c>
      <c r="D361" s="9">
        <v>1500</v>
      </c>
      <c r="E361" s="9">
        <v>1500</v>
      </c>
      <c r="F361" s="9">
        <v>1500</v>
      </c>
      <c r="G361" s="9">
        <f t="shared" si="28"/>
        <v>0</v>
      </c>
      <c r="H361" s="10">
        <f t="shared" si="29"/>
        <v>0</v>
      </c>
    </row>
    <row r="362" spans="2:9" ht="12.75" hidden="1">
      <c r="B362" t="s">
        <v>321</v>
      </c>
      <c r="C362" s="9">
        <v>41512</v>
      </c>
      <c r="D362" s="9">
        <v>41512</v>
      </c>
      <c r="E362" s="9">
        <v>43826</v>
      </c>
      <c r="F362" s="9">
        <v>43826</v>
      </c>
      <c r="G362" s="9">
        <f t="shared" si="28"/>
        <v>2314</v>
      </c>
      <c r="H362" s="10">
        <f t="shared" si="29"/>
        <v>0.05574291771054153</v>
      </c>
      <c r="I362" s="13"/>
    </row>
    <row r="363" spans="2:8" ht="12.75" hidden="1">
      <c r="B363" t="s">
        <v>322</v>
      </c>
      <c r="C363" s="29">
        <v>3000</v>
      </c>
      <c r="D363" s="29">
        <v>3000</v>
      </c>
      <c r="E363" s="29">
        <v>3500</v>
      </c>
      <c r="F363" s="29">
        <v>3000</v>
      </c>
      <c r="G363" s="9">
        <f t="shared" si="28"/>
        <v>0</v>
      </c>
      <c r="H363" s="10">
        <f t="shared" si="29"/>
        <v>0</v>
      </c>
    </row>
    <row r="364" spans="2:8" ht="12.75" hidden="1">
      <c r="B364" t="s">
        <v>74</v>
      </c>
      <c r="C364" s="9">
        <v>1000</v>
      </c>
      <c r="D364" s="9">
        <v>1000</v>
      </c>
      <c r="E364" s="9">
        <v>1000</v>
      </c>
      <c r="F364" s="9">
        <v>1000</v>
      </c>
      <c r="G364" s="9">
        <f t="shared" si="28"/>
        <v>0</v>
      </c>
      <c r="H364" s="10">
        <f t="shared" si="29"/>
        <v>0</v>
      </c>
    </row>
    <row r="365" spans="2:8" ht="12.75" hidden="1">
      <c r="B365" t="s">
        <v>34</v>
      </c>
      <c r="C365" s="9">
        <v>1200</v>
      </c>
      <c r="D365" s="9">
        <v>1200</v>
      </c>
      <c r="E365" s="9">
        <v>1400</v>
      </c>
      <c r="F365" s="9">
        <v>1400</v>
      </c>
      <c r="G365" s="9">
        <f t="shared" si="28"/>
        <v>200</v>
      </c>
      <c r="H365" s="10">
        <f t="shared" si="29"/>
        <v>0.16666666666666666</v>
      </c>
    </row>
    <row r="366" spans="2:8" ht="12.75" hidden="1">
      <c r="B366" t="s">
        <v>75</v>
      </c>
      <c r="C366" s="9">
        <v>1000</v>
      </c>
      <c r="D366" s="9">
        <v>1000</v>
      </c>
      <c r="E366" s="9">
        <v>1000</v>
      </c>
      <c r="F366" s="9">
        <v>1000</v>
      </c>
      <c r="G366" s="9">
        <f t="shared" si="28"/>
        <v>0</v>
      </c>
      <c r="H366" s="10">
        <f t="shared" si="29"/>
        <v>0</v>
      </c>
    </row>
    <row r="367" spans="2:8" ht="12.75">
      <c r="B367" s="8" t="s">
        <v>15</v>
      </c>
      <c r="C367" s="11">
        <f>SUM(C354:C366)</f>
        <v>121617</v>
      </c>
      <c r="D367" s="11">
        <f>SUM(D354:D366)</f>
        <v>121617</v>
      </c>
      <c r="E367" s="11">
        <f>SUM(E354:E366)</f>
        <v>124631</v>
      </c>
      <c r="F367" s="11">
        <f>SUM(F354:F366)</f>
        <v>124131</v>
      </c>
      <c r="G367" s="11">
        <f>SUM(G354:G366)</f>
        <v>2514</v>
      </c>
      <c r="H367" s="12">
        <f>G367/D367</f>
        <v>0.020671452181849577</v>
      </c>
    </row>
    <row r="368" spans="3:8" ht="12.75" hidden="1">
      <c r="C368" s="29"/>
      <c r="D368" s="29"/>
      <c r="E368" s="29"/>
      <c r="F368" s="29"/>
      <c r="G368" s="9"/>
      <c r="H368" s="10"/>
    </row>
    <row r="369" spans="1:8" ht="12.75" hidden="1">
      <c r="A369" t="s">
        <v>323</v>
      </c>
      <c r="B369" t="s">
        <v>324</v>
      </c>
      <c r="C369" s="29">
        <v>3250</v>
      </c>
      <c r="D369" s="29">
        <v>3250</v>
      </c>
      <c r="E369" s="29">
        <v>3250</v>
      </c>
      <c r="F369" s="29">
        <v>3250</v>
      </c>
      <c r="G369" s="9">
        <f>F369-D369</f>
        <v>0</v>
      </c>
      <c r="H369" s="10">
        <f>G369/D369</f>
        <v>0</v>
      </c>
    </row>
    <row r="370" spans="1:8" ht="12.75" hidden="1">
      <c r="A370" t="s">
        <v>325</v>
      </c>
      <c r="B370" t="s">
        <v>45</v>
      </c>
      <c r="C370" s="9">
        <v>1500</v>
      </c>
      <c r="D370" s="9">
        <v>1500</v>
      </c>
      <c r="E370" s="9">
        <v>1500</v>
      </c>
      <c r="F370" s="9">
        <v>1500</v>
      </c>
      <c r="G370" s="9">
        <f>F370-D370</f>
        <v>0</v>
      </c>
      <c r="H370" s="10">
        <f>G370/D370</f>
        <v>0</v>
      </c>
    </row>
    <row r="371" spans="2:8" ht="12.75">
      <c r="B371" s="8" t="s">
        <v>18</v>
      </c>
      <c r="C371" s="11">
        <f>SUM(C369:C370)</f>
        <v>4750</v>
      </c>
      <c r="D371" s="11">
        <f>SUM(D369:D370)</f>
        <v>4750</v>
      </c>
      <c r="E371" s="11">
        <f>SUM(E369:E370)</f>
        <v>4750</v>
      </c>
      <c r="F371" s="11">
        <f>SUM(F369:F370)</f>
        <v>4750</v>
      </c>
      <c r="G371" s="11">
        <f>SUM(G369:G370)</f>
        <v>0</v>
      </c>
      <c r="H371" s="12">
        <f>G371/D371</f>
        <v>0</v>
      </c>
    </row>
    <row r="372" spans="3:8" ht="12.75" hidden="1">
      <c r="C372" s="9"/>
      <c r="D372" s="9"/>
      <c r="E372" s="9"/>
      <c r="F372" s="9"/>
      <c r="G372" s="9"/>
      <c r="H372" s="10"/>
    </row>
    <row r="373" spans="1:8" ht="12.75" hidden="1">
      <c r="A373" t="s">
        <v>326</v>
      </c>
      <c r="B373" t="s">
        <v>47</v>
      </c>
      <c r="C373" s="9">
        <v>1100</v>
      </c>
      <c r="D373" s="9">
        <v>1100</v>
      </c>
      <c r="E373" s="9">
        <v>1100</v>
      </c>
      <c r="F373" s="9">
        <v>1100</v>
      </c>
      <c r="G373" s="9">
        <f>F373-D373</f>
        <v>0</v>
      </c>
      <c r="H373" s="10">
        <f>G373/D373</f>
        <v>0</v>
      </c>
    </row>
    <row r="374" spans="2:8" ht="12.75" hidden="1">
      <c r="B374" t="s">
        <v>106</v>
      </c>
      <c r="C374" s="9">
        <v>0</v>
      </c>
      <c r="D374" s="9">
        <v>0</v>
      </c>
      <c r="E374" s="9"/>
      <c r="F374" s="9"/>
      <c r="G374" s="9">
        <f>F374-D374</f>
        <v>0</v>
      </c>
      <c r="H374" s="10" t="e">
        <f>G374/D374</f>
        <v>#DIV/0!</v>
      </c>
    </row>
    <row r="375" spans="2:8" ht="12.75">
      <c r="B375" s="8" t="s">
        <v>48</v>
      </c>
      <c r="C375" s="11">
        <f>SUM(C373:C374)</f>
        <v>1100</v>
      </c>
      <c r="D375" s="11">
        <f>SUM(D373:D374)</f>
        <v>1100</v>
      </c>
      <c r="E375" s="11">
        <f>SUM(E373:E374)</f>
        <v>1100</v>
      </c>
      <c r="F375" s="11">
        <f>SUM(F373:F374)</f>
        <v>1100</v>
      </c>
      <c r="G375" s="11">
        <f>SUM(G373:G374)</f>
        <v>0</v>
      </c>
      <c r="H375" s="12">
        <f>G375/D375</f>
        <v>0</v>
      </c>
    </row>
    <row r="376" spans="3:8" ht="12.75" hidden="1">
      <c r="C376" s="9"/>
      <c r="D376" s="9"/>
      <c r="E376" s="9"/>
      <c r="F376" s="9"/>
      <c r="G376" s="9"/>
      <c r="H376" s="10"/>
    </row>
    <row r="377" spans="1:8" ht="12.75" hidden="1">
      <c r="A377" t="s">
        <v>327</v>
      </c>
      <c r="B377" t="s">
        <v>20</v>
      </c>
      <c r="C377" s="29">
        <v>4630</v>
      </c>
      <c r="D377" s="29">
        <v>4630</v>
      </c>
      <c r="E377" s="29">
        <v>4630</v>
      </c>
      <c r="F377" s="29">
        <v>4630</v>
      </c>
      <c r="G377" s="9">
        <f>F377-D377</f>
        <v>0</v>
      </c>
      <c r="H377" s="10">
        <f>G377/D377</f>
        <v>0</v>
      </c>
    </row>
    <row r="378" spans="2:8" ht="12.75" hidden="1">
      <c r="B378" t="s">
        <v>51</v>
      </c>
      <c r="C378" s="9">
        <v>165</v>
      </c>
      <c r="D378" s="9">
        <v>165</v>
      </c>
      <c r="E378" s="9">
        <v>165</v>
      </c>
      <c r="F378" s="9">
        <v>165</v>
      </c>
      <c r="G378" s="9">
        <f>F378-D378</f>
        <v>0</v>
      </c>
      <c r="H378" s="10">
        <f>G378/D378</f>
        <v>0</v>
      </c>
    </row>
    <row r="379" spans="2:8" ht="12.75">
      <c r="B379" s="8" t="s">
        <v>22</v>
      </c>
      <c r="C379" s="11">
        <f>SUM(C377:C378)</f>
        <v>4795</v>
      </c>
      <c r="D379" s="11">
        <f>SUM(D377:D378)</f>
        <v>4795</v>
      </c>
      <c r="E379" s="11">
        <f>SUM(E377:E378)</f>
        <v>4795</v>
      </c>
      <c r="F379" s="11">
        <f>SUM(F377:F378)</f>
        <v>4795</v>
      </c>
      <c r="G379" s="11">
        <f>SUM(G377:G378)</f>
        <v>0</v>
      </c>
      <c r="H379" s="12">
        <f>G379/D379</f>
        <v>0</v>
      </c>
    </row>
    <row r="380" spans="3:8" ht="12.75" hidden="1">
      <c r="C380" s="13"/>
      <c r="D380" s="13"/>
      <c r="E380" s="13"/>
      <c r="F380" s="13"/>
      <c r="G380" s="13"/>
      <c r="H380" s="14"/>
    </row>
    <row r="381" spans="2:8" s="15" customFormat="1" ht="12.75">
      <c r="B381" s="16" t="s">
        <v>328</v>
      </c>
      <c r="C381" s="17">
        <f>SUM(C379+C375+C371+C367)</f>
        <v>132262</v>
      </c>
      <c r="D381" s="17">
        <f>SUM(D379+D375+D371+D367)</f>
        <v>132262</v>
      </c>
      <c r="E381" s="17">
        <f>SUM(E379+E375+E371+E367)</f>
        <v>135276</v>
      </c>
      <c r="F381" s="17">
        <f>SUM(F379+F375+F371+F367)</f>
        <v>134776</v>
      </c>
      <c r="G381" s="17">
        <f>SUM(G379+G375+G371+G367)</f>
        <v>2514</v>
      </c>
      <c r="H381" s="18">
        <f>G381/D381</f>
        <v>0.019007727087145213</v>
      </c>
    </row>
    <row r="382" spans="3:7" ht="12.75">
      <c r="C382" s="7"/>
      <c r="D382" s="7"/>
      <c r="E382" s="7"/>
      <c r="F382" s="7"/>
      <c r="G382" s="13"/>
    </row>
    <row r="383" spans="2:8" ht="12.75">
      <c r="B383" s="8" t="s">
        <v>329</v>
      </c>
      <c r="C383" s="9"/>
      <c r="D383" s="9"/>
      <c r="E383" s="9"/>
      <c r="F383" s="9"/>
      <c r="G383" s="19"/>
      <c r="H383" s="19"/>
    </row>
    <row r="384" spans="1:8" ht="12.75" hidden="1">
      <c r="A384" t="s">
        <v>330</v>
      </c>
      <c r="B384" t="s">
        <v>329</v>
      </c>
      <c r="C384" s="9">
        <v>19500</v>
      </c>
      <c r="D384" s="9">
        <v>19500</v>
      </c>
      <c r="E384" s="9">
        <v>35000</v>
      </c>
      <c r="F384" s="9">
        <v>21500</v>
      </c>
      <c r="G384" s="9">
        <f>F384-D384</f>
        <v>2000</v>
      </c>
      <c r="H384" s="10">
        <f>G384/D384</f>
        <v>0.10256410256410256</v>
      </c>
    </row>
    <row r="385" spans="1:8" ht="12.75" hidden="1">
      <c r="A385" t="s">
        <v>331</v>
      </c>
      <c r="B385" t="s">
        <v>332</v>
      </c>
      <c r="C385" s="9">
        <v>1000</v>
      </c>
      <c r="D385" s="9">
        <v>1000</v>
      </c>
      <c r="E385" s="9">
        <v>1000</v>
      </c>
      <c r="F385" s="9">
        <v>1000</v>
      </c>
      <c r="G385" s="9">
        <f>F385-D385</f>
        <v>0</v>
      </c>
      <c r="H385" s="10">
        <f>G385/D385</f>
        <v>0</v>
      </c>
    </row>
    <row r="386" spans="2:8" ht="12" customHeight="1">
      <c r="B386" s="8" t="s">
        <v>15</v>
      </c>
      <c r="C386" s="11">
        <f>SUM(C384:C385)</f>
        <v>20500</v>
      </c>
      <c r="D386" s="11">
        <f>SUM(D384:D385)</f>
        <v>20500</v>
      </c>
      <c r="E386" s="11">
        <f>SUM(E384:E385)</f>
        <v>36000</v>
      </c>
      <c r="F386" s="11">
        <f>SUM(F384:F385)</f>
        <v>22500</v>
      </c>
      <c r="G386" s="11">
        <f>SUM(G384:G385)</f>
        <v>2000</v>
      </c>
      <c r="H386" s="12">
        <f>G386/D386</f>
        <v>0.0975609756097561</v>
      </c>
    </row>
    <row r="387" spans="3:8" ht="12" customHeight="1" hidden="1">
      <c r="C387" s="9"/>
      <c r="D387" s="9"/>
      <c r="E387" s="9"/>
      <c r="F387" s="9"/>
      <c r="G387" s="9"/>
      <c r="H387" s="10"/>
    </row>
    <row r="388" spans="1:8" ht="12.75" hidden="1">
      <c r="A388" t="s">
        <v>333</v>
      </c>
      <c r="B388" s="20" t="s">
        <v>334</v>
      </c>
      <c r="C388" s="9">
        <v>1000</v>
      </c>
      <c r="D388" s="9">
        <v>1000</v>
      </c>
      <c r="E388" s="9">
        <v>1000</v>
      </c>
      <c r="F388" s="9">
        <v>1000</v>
      </c>
      <c r="G388" s="9">
        <f>F388-D388</f>
        <v>0</v>
      </c>
      <c r="H388" s="10">
        <f>G388/D388</f>
        <v>0</v>
      </c>
    </row>
    <row r="389" spans="2:8" ht="12.75" hidden="1">
      <c r="B389" s="20" t="s">
        <v>54</v>
      </c>
      <c r="C389" s="9">
        <v>1000</v>
      </c>
      <c r="D389" s="9">
        <v>1000</v>
      </c>
      <c r="E389" s="9">
        <v>1000</v>
      </c>
      <c r="F389" s="9">
        <v>1000</v>
      </c>
      <c r="G389" s="9">
        <f>F389-D389</f>
        <v>0</v>
      </c>
      <c r="H389" s="10">
        <f>G389/D389</f>
        <v>0</v>
      </c>
    </row>
    <row r="390" spans="2:8" ht="12.75" hidden="1">
      <c r="B390" s="20" t="s">
        <v>335</v>
      </c>
      <c r="C390" s="9">
        <v>8700</v>
      </c>
      <c r="D390" s="9">
        <v>8700</v>
      </c>
      <c r="E390" s="9">
        <v>8700</v>
      </c>
      <c r="F390" s="9">
        <v>8700</v>
      </c>
      <c r="G390" s="9">
        <f>F390-D390</f>
        <v>0</v>
      </c>
      <c r="H390" s="10">
        <f>G390/D390</f>
        <v>0</v>
      </c>
    </row>
    <row r="391" spans="2:8" ht="12.75" hidden="1">
      <c r="B391" t="s">
        <v>45</v>
      </c>
      <c r="C391" s="9">
        <v>1000</v>
      </c>
      <c r="D391" s="9">
        <v>1000</v>
      </c>
      <c r="E391" s="9">
        <v>1000</v>
      </c>
      <c r="F391" s="9">
        <v>1000</v>
      </c>
      <c r="G391" s="9">
        <f>F391-D391</f>
        <v>0</v>
      </c>
      <c r="H391" s="10">
        <f>G391/D391</f>
        <v>0</v>
      </c>
    </row>
    <row r="392" spans="2:8" ht="12" customHeight="1">
      <c r="B392" s="8" t="s">
        <v>18</v>
      </c>
      <c r="C392" s="11">
        <f>SUM(C388:C391)</f>
        <v>11700</v>
      </c>
      <c r="D392" s="11">
        <f>SUM(D388:D391)</f>
        <v>11700</v>
      </c>
      <c r="E392" s="11">
        <f>SUM(E388:E391)</f>
        <v>11700</v>
      </c>
      <c r="F392" s="11">
        <f>SUM(F388:F391)</f>
        <v>11700</v>
      </c>
      <c r="G392" s="11">
        <f>SUM(G388:G391)</f>
        <v>0</v>
      </c>
      <c r="H392" s="12">
        <f>G392/D392</f>
        <v>0</v>
      </c>
    </row>
    <row r="393" spans="3:8" ht="12" customHeight="1" hidden="1">
      <c r="C393" s="9"/>
      <c r="D393" s="9"/>
      <c r="E393" s="9"/>
      <c r="F393" s="9"/>
      <c r="G393" s="9"/>
      <c r="H393" s="10"/>
    </row>
    <row r="394" spans="1:8" ht="12.75" hidden="1">
      <c r="A394" t="s">
        <v>336</v>
      </c>
      <c r="B394" t="s">
        <v>337</v>
      </c>
      <c r="C394" s="9">
        <v>200</v>
      </c>
      <c r="D394" s="9">
        <v>200</v>
      </c>
      <c r="E394" s="9">
        <v>200</v>
      </c>
      <c r="F394" s="9">
        <v>200</v>
      </c>
      <c r="G394" s="9">
        <f>F394-D394</f>
        <v>0</v>
      </c>
      <c r="H394" s="10">
        <f>G394/D394</f>
        <v>0</v>
      </c>
    </row>
    <row r="395" spans="2:8" ht="12.75" hidden="1">
      <c r="B395" t="s">
        <v>106</v>
      </c>
      <c r="C395" s="9">
        <v>1000</v>
      </c>
      <c r="D395" s="9">
        <v>1000</v>
      </c>
      <c r="E395" s="9">
        <v>2000</v>
      </c>
      <c r="F395" s="9">
        <v>1000</v>
      </c>
      <c r="G395" s="9">
        <f>F395-D395</f>
        <v>0</v>
      </c>
      <c r="H395" s="10">
        <f>G395/D395</f>
        <v>0</v>
      </c>
    </row>
    <row r="396" spans="2:8" ht="12" customHeight="1">
      <c r="B396" s="8" t="s">
        <v>48</v>
      </c>
      <c r="C396" s="11">
        <f>SUM(C394:C395)</f>
        <v>1200</v>
      </c>
      <c r="D396" s="11">
        <f>SUM(D394:D395)</f>
        <v>1200</v>
      </c>
      <c r="E396" s="11">
        <f>SUM(E394:E395)</f>
        <v>2200</v>
      </c>
      <c r="F396" s="11">
        <f>SUM(F394:F395)</f>
        <v>1200</v>
      </c>
      <c r="G396" s="11">
        <f>SUM(G394:G395)</f>
        <v>0</v>
      </c>
      <c r="H396" s="12">
        <f>G396/D396</f>
        <v>0</v>
      </c>
    </row>
    <row r="397" spans="3:8" ht="12" customHeight="1" hidden="1">
      <c r="C397" s="9"/>
      <c r="D397" s="9"/>
      <c r="E397" s="9"/>
      <c r="F397" s="9"/>
      <c r="G397" s="9"/>
      <c r="H397" s="10"/>
    </row>
    <row r="398" spans="1:8" ht="12.75" hidden="1">
      <c r="A398" t="s">
        <v>338</v>
      </c>
      <c r="B398" t="s">
        <v>20</v>
      </c>
      <c r="C398" s="9">
        <v>200</v>
      </c>
      <c r="D398" s="9">
        <v>200</v>
      </c>
      <c r="E398" s="9">
        <v>200</v>
      </c>
      <c r="F398" s="9">
        <v>200</v>
      </c>
      <c r="G398" s="9">
        <f>F398-D398</f>
        <v>0</v>
      </c>
      <c r="H398" s="10">
        <f>G398/D398</f>
        <v>0</v>
      </c>
    </row>
    <row r="399" spans="2:8" ht="12" customHeight="1">
      <c r="B399" s="8" t="s">
        <v>22</v>
      </c>
      <c r="C399" s="11">
        <f>SUM(C398)</f>
        <v>200</v>
      </c>
      <c r="D399" s="11">
        <f>SUM(D398)</f>
        <v>200</v>
      </c>
      <c r="E399" s="11">
        <f>SUM(E398)</f>
        <v>200</v>
      </c>
      <c r="F399" s="11">
        <f>SUM(F398)</f>
        <v>200</v>
      </c>
      <c r="G399" s="11">
        <f>SUM(G398)</f>
        <v>0</v>
      </c>
      <c r="H399" s="12">
        <f>G399/D399</f>
        <v>0</v>
      </c>
    </row>
    <row r="400" spans="3:8" ht="12" customHeight="1" hidden="1">
      <c r="C400" s="13"/>
      <c r="D400" s="13"/>
      <c r="E400" s="13"/>
      <c r="F400" s="13"/>
      <c r="G400" s="13"/>
      <c r="H400" s="14"/>
    </row>
    <row r="401" spans="2:8" s="15" customFormat="1" ht="12.75">
      <c r="B401" s="16" t="s">
        <v>339</v>
      </c>
      <c r="C401" s="17">
        <f>SUM(C399+C396+C392+C386)</f>
        <v>33600</v>
      </c>
      <c r="D401" s="17">
        <f>SUM(D399+D396+D392+D386)</f>
        <v>33600</v>
      </c>
      <c r="E401" s="17">
        <f>SUM(E399+E396+E392+E386)</f>
        <v>50100</v>
      </c>
      <c r="F401" s="17">
        <f>SUM(F399+F396+F392+F386)</f>
        <v>35600</v>
      </c>
      <c r="G401" s="17">
        <f>SUM(G399+G396+G392+G386)</f>
        <v>2000</v>
      </c>
      <c r="H401" s="18">
        <f>G401/D401</f>
        <v>0.05952380952380952</v>
      </c>
    </row>
    <row r="402" spans="3:7" ht="12.75">
      <c r="C402" s="7"/>
      <c r="D402" s="7"/>
      <c r="E402" s="7"/>
      <c r="F402" s="7"/>
      <c r="G402" s="13"/>
    </row>
    <row r="403" spans="2:8" ht="12.75">
      <c r="B403" s="8" t="s">
        <v>340</v>
      </c>
      <c r="C403" s="9"/>
      <c r="D403" s="9"/>
      <c r="E403" s="9"/>
      <c r="F403" s="9"/>
      <c r="G403" s="19"/>
      <c r="H403" s="19"/>
    </row>
    <row r="404" spans="1:8" ht="12.75" hidden="1">
      <c r="A404" t="s">
        <v>341</v>
      </c>
      <c r="B404" t="s">
        <v>342</v>
      </c>
      <c r="C404" s="9">
        <v>11500</v>
      </c>
      <c r="D404" s="9">
        <v>11500</v>
      </c>
      <c r="E404" s="9">
        <v>11500</v>
      </c>
      <c r="F404" s="9">
        <v>11500</v>
      </c>
      <c r="G404" s="9">
        <f>F404-D404</f>
        <v>0</v>
      </c>
      <c r="H404" s="10">
        <f>G404/D404</f>
        <v>0</v>
      </c>
    </row>
    <row r="405" spans="1:8" ht="12.75" hidden="1">
      <c r="A405" t="s">
        <v>343</v>
      </c>
      <c r="B405" t="s">
        <v>344</v>
      </c>
      <c r="C405" s="9">
        <v>24870</v>
      </c>
      <c r="D405" s="9">
        <v>22430</v>
      </c>
      <c r="E405" s="9">
        <v>22430</v>
      </c>
      <c r="F405" s="9">
        <f>22430+3000</f>
        <v>25430</v>
      </c>
      <c r="G405" s="9">
        <f>F405-D405</f>
        <v>3000</v>
      </c>
      <c r="H405" s="10">
        <f>G405/D405</f>
        <v>0.13374944271065536</v>
      </c>
    </row>
    <row r="406" spans="2:8" ht="12.75">
      <c r="B406" s="8" t="s">
        <v>15</v>
      </c>
      <c r="C406" s="11">
        <f>SUM(C404:C405)</f>
        <v>36370</v>
      </c>
      <c r="D406" s="11">
        <f>SUM(D404:D405)</f>
        <v>33930</v>
      </c>
      <c r="E406" s="11">
        <f>SUM(E404:E405)</f>
        <v>33930</v>
      </c>
      <c r="F406" s="11">
        <f>SUM(F404:F405)</f>
        <v>36930</v>
      </c>
      <c r="G406" s="11">
        <f>SUM(G404:G405)</f>
        <v>3000</v>
      </c>
      <c r="H406" s="12">
        <f>G406/D406</f>
        <v>0.08841732979664015</v>
      </c>
    </row>
    <row r="407" spans="3:8" ht="12.75" hidden="1">
      <c r="C407" s="9"/>
      <c r="D407" s="9"/>
      <c r="E407" s="9"/>
      <c r="F407" s="9"/>
      <c r="G407" s="9"/>
      <c r="H407" s="10"/>
    </row>
    <row r="408" spans="1:8" ht="12.75" hidden="1">
      <c r="A408" t="s">
        <v>345</v>
      </c>
      <c r="B408" t="s">
        <v>346</v>
      </c>
      <c r="C408" s="9">
        <v>5200</v>
      </c>
      <c r="D408" s="9">
        <v>5200</v>
      </c>
      <c r="E408" s="9">
        <v>5200</v>
      </c>
      <c r="F408" s="9">
        <v>5200</v>
      </c>
      <c r="G408" s="9">
        <f>F408-D408</f>
        <v>0</v>
      </c>
      <c r="H408" s="10">
        <f>G408/D408</f>
        <v>0</v>
      </c>
    </row>
    <row r="409" spans="1:8" ht="12.75" hidden="1">
      <c r="A409" t="s">
        <v>347</v>
      </c>
      <c r="B409" t="s">
        <v>45</v>
      </c>
      <c r="C409" s="9">
        <v>3200</v>
      </c>
      <c r="D409" s="9">
        <v>3200</v>
      </c>
      <c r="E409" s="9">
        <v>3200</v>
      </c>
      <c r="F409" s="9">
        <v>3200</v>
      </c>
      <c r="G409" s="9">
        <f>F409-D409</f>
        <v>0</v>
      </c>
      <c r="H409" s="10">
        <f>G409/D409</f>
        <v>0</v>
      </c>
    </row>
    <row r="410" spans="2:8" ht="12.75">
      <c r="B410" s="8" t="s">
        <v>18</v>
      </c>
      <c r="C410" s="11">
        <f>SUM(C408:C409)</f>
        <v>8400</v>
      </c>
      <c r="D410" s="11">
        <f>SUM(D408:D409)</f>
        <v>8400</v>
      </c>
      <c r="E410" s="11">
        <f>SUM(E408:E409)</f>
        <v>8400</v>
      </c>
      <c r="F410" s="11">
        <f>SUM(F408:F409)</f>
        <v>8400</v>
      </c>
      <c r="G410" s="11">
        <f>SUM(G408:G409)</f>
        <v>0</v>
      </c>
      <c r="H410" s="12">
        <f>G410/D410</f>
        <v>0</v>
      </c>
    </row>
    <row r="411" spans="3:8" ht="12.75" hidden="1">
      <c r="C411" s="9"/>
      <c r="D411" s="9"/>
      <c r="E411" s="9"/>
      <c r="F411" s="9"/>
      <c r="G411" s="9"/>
      <c r="H411" s="10"/>
    </row>
    <row r="412" spans="1:8" ht="12.75" hidden="1">
      <c r="A412" t="s">
        <v>348</v>
      </c>
      <c r="B412" t="s">
        <v>47</v>
      </c>
      <c r="C412" s="9">
        <v>700</v>
      </c>
      <c r="D412" s="9">
        <v>700</v>
      </c>
      <c r="E412" s="9">
        <v>700</v>
      </c>
      <c r="F412" s="9">
        <v>700</v>
      </c>
      <c r="G412" s="9">
        <f>F412-D412</f>
        <v>0</v>
      </c>
      <c r="H412" s="10">
        <f>G412/D412</f>
        <v>0</v>
      </c>
    </row>
    <row r="413" spans="1:8" ht="12.75" hidden="1">
      <c r="A413" t="s">
        <v>349</v>
      </c>
      <c r="B413" t="s">
        <v>106</v>
      </c>
      <c r="C413" s="9">
        <v>8175</v>
      </c>
      <c r="D413" s="9">
        <v>6000</v>
      </c>
      <c r="E413" s="9">
        <v>6000</v>
      </c>
      <c r="F413" s="9">
        <v>6000</v>
      </c>
      <c r="G413" s="9">
        <f>F413-D413</f>
        <v>0</v>
      </c>
      <c r="H413" s="10">
        <f>G413/D413</f>
        <v>0</v>
      </c>
    </row>
    <row r="414" spans="2:8" ht="12.75">
      <c r="B414" s="8" t="s">
        <v>48</v>
      </c>
      <c r="C414" s="11">
        <f>SUM(C412:C413)</f>
        <v>8875</v>
      </c>
      <c r="D414" s="11">
        <f>SUM(D412:D413)</f>
        <v>6700</v>
      </c>
      <c r="E414" s="11">
        <f>SUM(E412:E413)</f>
        <v>6700</v>
      </c>
      <c r="F414" s="11">
        <f>SUM(F412:F413)</f>
        <v>6700</v>
      </c>
      <c r="G414" s="11">
        <f>SUM(G412:G413)</f>
        <v>0</v>
      </c>
      <c r="H414" s="12">
        <f>G414/D414</f>
        <v>0</v>
      </c>
    </row>
    <row r="415" spans="3:8" ht="12.75" hidden="1">
      <c r="C415" s="9"/>
      <c r="D415" s="9"/>
      <c r="E415" s="9"/>
      <c r="F415" s="9"/>
      <c r="G415" s="9"/>
      <c r="H415" s="10"/>
    </row>
    <row r="416" spans="1:8" ht="12.75" hidden="1">
      <c r="A416" t="s">
        <v>350</v>
      </c>
      <c r="B416" t="s">
        <v>20</v>
      </c>
      <c r="C416" s="9">
        <v>1200</v>
      </c>
      <c r="D416" s="9">
        <v>700</v>
      </c>
      <c r="E416" s="9">
        <v>700</v>
      </c>
      <c r="F416" s="9">
        <v>700</v>
      </c>
      <c r="G416" s="9">
        <f>F416-D416</f>
        <v>0</v>
      </c>
      <c r="H416" s="10">
        <f>G416/D416</f>
        <v>0</v>
      </c>
    </row>
    <row r="417" spans="2:8" ht="12.75">
      <c r="B417" s="8" t="s">
        <v>22</v>
      </c>
      <c r="C417" s="11">
        <f>SUM(C416)</f>
        <v>1200</v>
      </c>
      <c r="D417" s="11">
        <f>SUM(D416)</f>
        <v>700</v>
      </c>
      <c r="E417" s="11">
        <f>SUM(E416)</f>
        <v>700</v>
      </c>
      <c r="F417" s="11">
        <f>SUM(F416)</f>
        <v>700</v>
      </c>
      <c r="G417" s="11">
        <f>SUM(G416)</f>
        <v>0</v>
      </c>
      <c r="H417" s="12">
        <f>G417/D417</f>
        <v>0</v>
      </c>
    </row>
    <row r="418" spans="2:8" ht="12.75" hidden="1">
      <c r="B418" s="8"/>
      <c r="C418" s="11"/>
      <c r="D418" s="11"/>
      <c r="E418" s="11"/>
      <c r="F418" s="11"/>
      <c r="G418" s="11"/>
      <c r="H418" s="12"/>
    </row>
    <row r="419" spans="2:8" ht="12.75" hidden="1">
      <c r="B419" s="8" t="s">
        <v>351</v>
      </c>
      <c r="C419" s="11">
        <v>10000</v>
      </c>
      <c r="D419" s="11">
        <v>10000</v>
      </c>
      <c r="E419" s="11">
        <v>10000</v>
      </c>
      <c r="F419" s="11">
        <v>10000</v>
      </c>
      <c r="G419" s="9">
        <f>F419-D419</f>
        <v>0</v>
      </c>
      <c r="H419" s="10">
        <f>G419/D419</f>
        <v>0</v>
      </c>
    </row>
    <row r="420" spans="2:8" ht="12.75">
      <c r="B420" s="8" t="s">
        <v>65</v>
      </c>
      <c r="C420" s="11">
        <f>SUM(C419)</f>
        <v>10000</v>
      </c>
      <c r="D420" s="11">
        <f>SUM(D419)</f>
        <v>10000</v>
      </c>
      <c r="E420" s="11">
        <f>SUM(E419)</f>
        <v>10000</v>
      </c>
      <c r="F420" s="11">
        <f>SUM(F419)</f>
        <v>10000</v>
      </c>
      <c r="G420" s="11">
        <f>SUM(G419)</f>
        <v>0</v>
      </c>
      <c r="H420" s="12">
        <f>G420/D420</f>
        <v>0</v>
      </c>
    </row>
    <row r="421" spans="3:8" ht="12.75" hidden="1">
      <c r="C421" s="13"/>
      <c r="D421" s="13"/>
      <c r="E421" s="13"/>
      <c r="F421" s="13"/>
      <c r="G421" s="13"/>
      <c r="H421" s="14"/>
    </row>
    <row r="422" spans="1:8" s="15" customFormat="1" ht="12.75">
      <c r="A422" s="16"/>
      <c r="B422" s="16" t="s">
        <v>352</v>
      </c>
      <c r="C422" s="17">
        <f>SUM(C417+C414+C410+C406+C420)</f>
        <v>64845</v>
      </c>
      <c r="D422" s="17">
        <f>SUM(D417+D414+D410+D406+D420)</f>
        <v>59730</v>
      </c>
      <c r="E422" s="17">
        <f>SUM(E417+E414+E410+E406+E420)</f>
        <v>59730</v>
      </c>
      <c r="F422" s="17">
        <f>SUM(F417+F414+F410+F406+F420)</f>
        <v>62730</v>
      </c>
      <c r="G422" s="17">
        <f>SUM(G417+G414+G410+G406+G420)</f>
        <v>3000</v>
      </c>
      <c r="H422" s="18">
        <f>G422/D422</f>
        <v>0.050226017076845805</v>
      </c>
    </row>
    <row r="423" spans="1:7" ht="12.75">
      <c r="A423" s="8"/>
      <c r="B423" s="8"/>
      <c r="C423" s="30"/>
      <c r="D423" s="30"/>
      <c r="E423" s="30"/>
      <c r="F423" s="30"/>
      <c r="G423" s="13"/>
    </row>
    <row r="424" spans="1:8" ht="12.75">
      <c r="A424" s="8"/>
      <c r="B424" s="8" t="s">
        <v>353</v>
      </c>
      <c r="C424" s="11"/>
      <c r="D424" s="11"/>
      <c r="E424" s="11"/>
      <c r="F424" s="11"/>
      <c r="G424" s="19"/>
      <c r="H424" s="19"/>
    </row>
    <row r="425" spans="1:8" ht="12.75" hidden="1">
      <c r="A425" s="8"/>
      <c r="B425" t="s">
        <v>354</v>
      </c>
      <c r="C425" s="9"/>
      <c r="D425" s="9"/>
      <c r="E425" s="9"/>
      <c r="F425" s="9">
        <v>1000</v>
      </c>
      <c r="G425" s="9">
        <f>F425-D425</f>
        <v>1000</v>
      </c>
      <c r="H425" s="10" t="e">
        <f>G425/D425</f>
        <v>#DIV/0!</v>
      </c>
    </row>
    <row r="426" spans="1:8" ht="12.75" hidden="1">
      <c r="A426" s="8"/>
      <c r="B426" t="s">
        <v>355</v>
      </c>
      <c r="C426" s="9"/>
      <c r="D426" s="9"/>
      <c r="E426" s="9"/>
      <c r="F426" s="9"/>
      <c r="G426" s="9">
        <f>F426-D426</f>
        <v>0</v>
      </c>
      <c r="H426" s="10" t="e">
        <f>G426/D426</f>
        <v>#DIV/0!</v>
      </c>
    </row>
    <row r="427" spans="1:8" ht="12.75">
      <c r="A427" s="8"/>
      <c r="B427" s="8" t="s">
        <v>15</v>
      </c>
      <c r="C427" s="11">
        <f>SUM(C425:C426)</f>
        <v>0</v>
      </c>
      <c r="D427" s="11">
        <f>SUM(D425:D426)</f>
        <v>0</v>
      </c>
      <c r="E427" s="11">
        <f>SUM(E425:E426)</f>
        <v>0</v>
      </c>
      <c r="F427" s="11">
        <f>SUM(F425:F426)</f>
        <v>1000</v>
      </c>
      <c r="G427" s="11">
        <f>SUM(G425:G426)</f>
        <v>1000</v>
      </c>
      <c r="H427" s="12" t="e">
        <f>G427/D427</f>
        <v>#DIV/0!</v>
      </c>
    </row>
    <row r="428" spans="1:8" ht="12.75" hidden="1">
      <c r="A428" s="8"/>
      <c r="C428" s="31"/>
      <c r="D428" s="31"/>
      <c r="E428" s="31"/>
      <c r="F428" s="31"/>
      <c r="G428" s="9"/>
      <c r="H428" s="10"/>
    </row>
    <row r="429" spans="1:8" ht="12.75" hidden="1">
      <c r="A429" s="8"/>
      <c r="B429" t="s">
        <v>356</v>
      </c>
      <c r="C429" s="9"/>
      <c r="D429" s="9"/>
      <c r="E429" s="9"/>
      <c r="F429" s="9"/>
      <c r="G429" s="9">
        <f>F429-D429</f>
        <v>0</v>
      </c>
      <c r="H429" s="10" t="e">
        <f>G429/D429</f>
        <v>#DIV/0!</v>
      </c>
    </row>
    <row r="430" spans="1:8" ht="12.75">
      <c r="A430" s="8"/>
      <c r="B430" s="8" t="s">
        <v>18</v>
      </c>
      <c r="C430" s="11">
        <f>C429</f>
        <v>0</v>
      </c>
      <c r="D430" s="11">
        <f>D429</f>
        <v>0</v>
      </c>
      <c r="E430" s="11">
        <f>E429</f>
        <v>0</v>
      </c>
      <c r="F430" s="11">
        <f>F429</f>
        <v>0</v>
      </c>
      <c r="G430" s="11">
        <f>SUM(G429)</f>
        <v>0</v>
      </c>
      <c r="H430" s="12" t="e">
        <f>G430/D430</f>
        <v>#DIV/0!</v>
      </c>
    </row>
    <row r="431" spans="1:8" ht="12.75" hidden="1">
      <c r="A431" s="8"/>
      <c r="C431" s="31"/>
      <c r="D431" s="31"/>
      <c r="E431" s="31"/>
      <c r="F431" s="31"/>
      <c r="G431" s="9"/>
      <c r="H431" s="10"/>
    </row>
    <row r="432" spans="1:8" ht="12.75" hidden="1">
      <c r="A432" s="8"/>
      <c r="B432" t="s">
        <v>47</v>
      </c>
      <c r="C432" s="9"/>
      <c r="D432" s="9"/>
      <c r="E432" s="9"/>
      <c r="F432" s="9"/>
      <c r="G432" s="9">
        <f>F432-D432</f>
        <v>0</v>
      </c>
      <c r="H432" s="10" t="e">
        <f>G432/D432</f>
        <v>#DIV/0!</v>
      </c>
    </row>
    <row r="433" spans="1:8" ht="12.75" hidden="1">
      <c r="A433" s="8"/>
      <c r="B433" t="s">
        <v>106</v>
      </c>
      <c r="C433" s="9"/>
      <c r="D433" s="9"/>
      <c r="E433" s="9"/>
      <c r="F433" s="9"/>
      <c r="G433" s="9">
        <f>F433-D433</f>
        <v>0</v>
      </c>
      <c r="H433" s="10" t="e">
        <f>G433/D433</f>
        <v>#DIV/0!</v>
      </c>
    </row>
    <row r="434" spans="1:8" ht="12.75">
      <c r="A434" s="8"/>
      <c r="B434" s="8" t="s">
        <v>48</v>
      </c>
      <c r="C434" s="11">
        <f>SUM(C432:C433)</f>
        <v>0</v>
      </c>
      <c r="D434" s="11">
        <f>SUM(D432:D433)</f>
        <v>0</v>
      </c>
      <c r="E434" s="11">
        <f>SUM(E432:E433)</f>
        <v>0</v>
      </c>
      <c r="F434" s="11">
        <f>SUM(F432:F433)</f>
        <v>0</v>
      </c>
      <c r="G434" s="11">
        <f>SUM(G432:G433)</f>
        <v>0</v>
      </c>
      <c r="H434" s="12" t="e">
        <f>G434/D434</f>
        <v>#DIV/0!</v>
      </c>
    </row>
    <row r="435" spans="1:8" ht="12.75" hidden="1">
      <c r="A435" s="8"/>
      <c r="C435" s="31"/>
      <c r="D435" s="31"/>
      <c r="E435" s="31"/>
      <c r="F435" s="31"/>
      <c r="G435" s="9"/>
      <c r="H435" s="10"/>
    </row>
    <row r="436" spans="2:8" ht="12.75" hidden="1">
      <c r="B436" t="s">
        <v>20</v>
      </c>
      <c r="C436" s="9"/>
      <c r="D436" s="9"/>
      <c r="E436" s="9"/>
      <c r="F436" s="9"/>
      <c r="G436" s="9">
        <f>F436-D436</f>
        <v>0</v>
      </c>
      <c r="H436" s="10" t="e">
        <f>G436/D436</f>
        <v>#DIV/0!</v>
      </c>
    </row>
    <row r="437" spans="2:8" ht="12.75">
      <c r="B437" s="8" t="s">
        <v>22</v>
      </c>
      <c r="C437" s="11">
        <f>C436</f>
        <v>0</v>
      </c>
      <c r="D437" s="11">
        <f>D436</f>
        <v>0</v>
      </c>
      <c r="E437" s="11">
        <f>E436</f>
        <v>0</v>
      </c>
      <c r="F437" s="11">
        <f>F436</f>
        <v>0</v>
      </c>
      <c r="G437" s="11">
        <f>SUM(G436)</f>
        <v>0</v>
      </c>
      <c r="H437" s="12" t="e">
        <f>G437/D437</f>
        <v>#DIV/0!</v>
      </c>
    </row>
    <row r="438" spans="3:8" ht="12.75" hidden="1">
      <c r="C438" s="20"/>
      <c r="D438" s="20"/>
      <c r="E438" s="20"/>
      <c r="F438" s="20"/>
      <c r="G438" s="20"/>
      <c r="H438" s="7"/>
    </row>
    <row r="439" spans="2:8" s="15" customFormat="1" ht="12.75">
      <c r="B439" s="16" t="s">
        <v>357</v>
      </c>
      <c r="C439" s="17">
        <f>C427+C430+C434+C437</f>
        <v>0</v>
      </c>
      <c r="D439" s="17">
        <f>D427+D430+D434+D437</f>
        <v>0</v>
      </c>
      <c r="E439" s="17">
        <f>E427+E430+E434+E437</f>
        <v>0</v>
      </c>
      <c r="F439" s="17">
        <f>F427+F430+F434+F437</f>
        <v>1000</v>
      </c>
      <c r="G439" s="17">
        <f>G427+G430+G434+G437</f>
        <v>1000</v>
      </c>
      <c r="H439" s="18" t="e">
        <f>G439/D439</f>
        <v>#DIV/0!</v>
      </c>
    </row>
    <row r="440" spans="2:6" ht="12.75">
      <c r="B440" s="8"/>
      <c r="C440" s="32"/>
      <c r="D440" s="32"/>
      <c r="E440" s="32"/>
      <c r="F440" s="32"/>
    </row>
    <row r="442" spans="1:6" ht="12.75">
      <c r="A442" s="8"/>
      <c r="B442" s="8" t="s">
        <v>358</v>
      </c>
      <c r="C442" s="13"/>
      <c r="D442" s="13"/>
      <c r="E442" s="13"/>
      <c r="F442" s="13"/>
    </row>
    <row r="443" spans="1:10" ht="12.75">
      <c r="A443" t="s">
        <v>359</v>
      </c>
      <c r="B443" t="s">
        <v>360</v>
      </c>
      <c r="C443" s="9">
        <v>9578230</v>
      </c>
      <c r="D443" s="9">
        <v>9487410</v>
      </c>
      <c r="E443" s="9">
        <v>9843293</v>
      </c>
      <c r="F443" s="9">
        <v>9716786</v>
      </c>
      <c r="G443" s="9">
        <f>F443-D443</f>
        <v>229376</v>
      </c>
      <c r="H443" s="10">
        <f>G443/D443</f>
        <v>0.024176882837360247</v>
      </c>
      <c r="J443" s="13">
        <f>E443-F443</f>
        <v>126507</v>
      </c>
    </row>
    <row r="444" spans="1:8" s="15" customFormat="1" ht="12.75" hidden="1">
      <c r="A444" s="16"/>
      <c r="B444" s="16" t="s">
        <v>361</v>
      </c>
      <c r="C444" s="17">
        <f>C443</f>
        <v>9578230</v>
      </c>
      <c r="D444" s="17">
        <f>D443</f>
        <v>9487410</v>
      </c>
      <c r="E444" s="17">
        <f>E443</f>
        <v>9843293</v>
      </c>
      <c r="F444" s="17">
        <f>F443</f>
        <v>9716786</v>
      </c>
      <c r="G444" s="17">
        <f>G443</f>
        <v>229376</v>
      </c>
      <c r="H444" s="18">
        <f>G444/D444</f>
        <v>0.024176882837360247</v>
      </c>
    </row>
    <row r="445" spans="3:7" ht="12.75" hidden="1">
      <c r="C445" s="13"/>
      <c r="D445" s="13"/>
      <c r="E445" s="13"/>
      <c r="F445" s="13"/>
      <c r="G445" s="13"/>
    </row>
    <row r="446" spans="2:6" ht="12.75" hidden="1">
      <c r="B446" s="8" t="s">
        <v>362</v>
      </c>
      <c r="C446" s="13"/>
      <c r="D446" s="13"/>
      <c r="E446" s="13"/>
      <c r="F446" s="13"/>
    </row>
    <row r="447" spans="2:8" ht="12.75">
      <c r="B447" t="s">
        <v>362</v>
      </c>
      <c r="C447" s="9">
        <f>(664190*1.05)</f>
        <v>697399.5</v>
      </c>
      <c r="D447" s="9">
        <f>646433+16145</f>
        <v>662578</v>
      </c>
      <c r="E447" s="9">
        <v>760000</v>
      </c>
      <c r="F447" s="9">
        <v>755066</v>
      </c>
      <c r="G447" s="9">
        <f>F447-D447</f>
        <v>92488</v>
      </c>
      <c r="H447" s="10">
        <f>G447/D447</f>
        <v>0.13958809377914752</v>
      </c>
    </row>
    <row r="448" spans="2:8" ht="12.75" hidden="1">
      <c r="B448" s="16" t="s">
        <v>363</v>
      </c>
      <c r="C448" s="17">
        <f>C447</f>
        <v>697399.5</v>
      </c>
      <c r="D448" s="17">
        <f>D447</f>
        <v>662578</v>
      </c>
      <c r="E448" s="17">
        <f>E447</f>
        <v>760000</v>
      </c>
      <c r="F448" s="17">
        <f>F447</f>
        <v>755066</v>
      </c>
      <c r="G448" s="17">
        <f>G447</f>
        <v>92488</v>
      </c>
      <c r="H448" s="18">
        <f>G448/D448</f>
        <v>0.13958809377914752</v>
      </c>
    </row>
    <row r="449" spans="3:7" ht="12.75" hidden="1">
      <c r="C449" s="13"/>
      <c r="D449" s="13"/>
      <c r="E449" s="13"/>
      <c r="F449" s="13"/>
      <c r="G449" s="13"/>
    </row>
    <row r="450" spans="1:6" ht="12.75" hidden="1">
      <c r="A450" s="8"/>
      <c r="B450" s="8" t="s">
        <v>362</v>
      </c>
      <c r="C450" s="13"/>
      <c r="D450" s="13"/>
      <c r="E450" s="13"/>
      <c r="F450" s="13"/>
    </row>
    <row r="451" spans="1:8" ht="12.75">
      <c r="A451" t="s">
        <v>364</v>
      </c>
      <c r="B451" s="20" t="s">
        <v>365</v>
      </c>
      <c r="C451" s="9"/>
      <c r="D451" s="9"/>
      <c r="E451" s="9">
        <v>52500</v>
      </c>
      <c r="F451" s="9">
        <v>91470</v>
      </c>
      <c r="G451" s="9">
        <f>F451-D451</f>
        <v>91470</v>
      </c>
      <c r="H451" s="10" t="e">
        <f>G451/D451</f>
        <v>#DIV/0!</v>
      </c>
    </row>
    <row r="452" spans="2:8" s="15" customFormat="1" ht="12.75" hidden="1">
      <c r="B452" s="16" t="s">
        <v>363</v>
      </c>
      <c r="C452" s="17">
        <f>C451</f>
        <v>0</v>
      </c>
      <c r="D452" s="17">
        <f>D451</f>
        <v>0</v>
      </c>
      <c r="E452" s="17">
        <f>E451</f>
        <v>52500</v>
      </c>
      <c r="F452" s="17">
        <f>F451</f>
        <v>91470</v>
      </c>
      <c r="G452" s="17">
        <f>G451</f>
        <v>91470</v>
      </c>
      <c r="H452" s="18" t="e">
        <f>G452/D452</f>
        <v>#DIV/0!</v>
      </c>
    </row>
    <row r="453" spans="2:8" s="15" customFormat="1" ht="12.75" hidden="1">
      <c r="B453" s="16"/>
      <c r="C453" s="33"/>
      <c r="D453" s="33"/>
      <c r="E453" s="33"/>
      <c r="F453" s="33"/>
      <c r="G453" s="33"/>
      <c r="H453" s="34"/>
    </row>
    <row r="454" spans="2:8" s="15" customFormat="1" ht="12.75">
      <c r="B454" s="16" t="s">
        <v>366</v>
      </c>
      <c r="C454" s="17">
        <f>C444+C448+C452</f>
        <v>10275629.5</v>
      </c>
      <c r="D454" s="17">
        <f>D444+D448+D452</f>
        <v>10149988</v>
      </c>
      <c r="E454" s="17">
        <f>E444+E448+E452</f>
        <v>10655793</v>
      </c>
      <c r="F454" s="17">
        <f>F444+F448+F452</f>
        <v>10563322</v>
      </c>
      <c r="G454" s="17">
        <f>G444+G448+G452</f>
        <v>413334</v>
      </c>
      <c r="H454" s="18">
        <f>G454/D454</f>
        <v>0.04072260972131199</v>
      </c>
    </row>
    <row r="455" spans="3:7" ht="12.75">
      <c r="C455" s="7"/>
      <c r="D455" s="7"/>
      <c r="E455" s="7"/>
      <c r="F455" s="7"/>
      <c r="G455" s="13"/>
    </row>
    <row r="456" spans="2:8" ht="12.75">
      <c r="B456" s="8" t="s">
        <v>367</v>
      </c>
      <c r="C456" s="9"/>
      <c r="D456" s="9"/>
      <c r="E456" s="9"/>
      <c r="F456" s="9"/>
      <c r="G456" s="19"/>
      <c r="H456" s="19"/>
    </row>
    <row r="457" spans="2:8" ht="12.75" hidden="1">
      <c r="B457" t="s">
        <v>368</v>
      </c>
      <c r="C457" s="9">
        <v>97180</v>
      </c>
      <c r="D457" s="9">
        <v>97180</v>
      </c>
      <c r="E457" s="9">
        <f>D457*1.05575</f>
        <v>102597.785</v>
      </c>
      <c r="F457" s="9">
        <v>102606</v>
      </c>
      <c r="G457" s="9">
        <f aca="true" t="shared" si="30" ref="G457:G468">F457-D457</f>
        <v>5426</v>
      </c>
      <c r="H457" s="10">
        <f aca="true" t="shared" si="31" ref="H457:H468">G457/D457</f>
        <v>0.05583453385470261</v>
      </c>
    </row>
    <row r="458" spans="2:8" ht="12.75" hidden="1">
      <c r="B458" t="s">
        <v>369</v>
      </c>
      <c r="C458" s="9">
        <v>194033</v>
      </c>
      <c r="D458" s="9">
        <v>233137</v>
      </c>
      <c r="E458" s="9">
        <f>236148*1.05575</f>
        <v>249313.251</v>
      </c>
      <c r="F458" s="9">
        <v>249313</v>
      </c>
      <c r="G458" s="9">
        <f t="shared" si="30"/>
        <v>16176</v>
      </c>
      <c r="H458" s="10">
        <f t="shared" si="31"/>
        <v>0.06938409604653058</v>
      </c>
    </row>
    <row r="459" spans="2:8" ht="12.75" hidden="1">
      <c r="B459" t="s">
        <v>370</v>
      </c>
      <c r="C459" s="9">
        <v>73657</v>
      </c>
      <c r="D459" s="9">
        <v>73657</v>
      </c>
      <c r="E459" s="9">
        <v>59000</v>
      </c>
      <c r="F459" s="9">
        <v>59000</v>
      </c>
      <c r="G459" s="9">
        <f t="shared" si="30"/>
        <v>-14657</v>
      </c>
      <c r="H459" s="10">
        <f t="shared" si="31"/>
        <v>-0.19898991270347693</v>
      </c>
    </row>
    <row r="460" spans="2:8" ht="12.75" hidden="1">
      <c r="B460" s="20" t="s">
        <v>371</v>
      </c>
      <c r="C460" s="9">
        <v>2250</v>
      </c>
      <c r="D460" s="9">
        <v>0</v>
      </c>
      <c r="E460" s="9">
        <v>2250</v>
      </c>
      <c r="F460" s="9">
        <v>0</v>
      </c>
      <c r="G460" s="9">
        <f t="shared" si="30"/>
        <v>0</v>
      </c>
      <c r="H460" s="10" t="e">
        <f t="shared" si="31"/>
        <v>#DIV/0!</v>
      </c>
    </row>
    <row r="461" spans="1:8" ht="12.75" hidden="1">
      <c r="A461" t="s">
        <v>372</v>
      </c>
      <c r="B461" t="s">
        <v>373</v>
      </c>
      <c r="C461" s="9">
        <v>39775</v>
      </c>
      <c r="D461" s="9">
        <v>39775</v>
      </c>
      <c r="E461" s="9">
        <v>40000</v>
      </c>
      <c r="F461" s="9">
        <v>40040</v>
      </c>
      <c r="G461" s="9">
        <f t="shared" si="30"/>
        <v>265</v>
      </c>
      <c r="H461" s="10">
        <f t="shared" si="31"/>
        <v>0.006662476429918291</v>
      </c>
    </row>
    <row r="462" spans="1:8" ht="12.75" hidden="1">
      <c r="A462" t="s">
        <v>374</v>
      </c>
      <c r="B462" s="20" t="s">
        <v>375</v>
      </c>
      <c r="C462" s="29">
        <f>5000+10560</f>
        <v>15560</v>
      </c>
      <c r="D462" s="29">
        <v>0</v>
      </c>
      <c r="E462" s="29">
        <v>5000</v>
      </c>
      <c r="F462" s="29">
        <v>0</v>
      </c>
      <c r="G462" s="9">
        <f t="shared" si="30"/>
        <v>0</v>
      </c>
      <c r="H462" s="10" t="e">
        <f t="shared" si="31"/>
        <v>#DIV/0!</v>
      </c>
    </row>
    <row r="463" spans="1:8" ht="12.75" hidden="1">
      <c r="A463" t="s">
        <v>376</v>
      </c>
      <c r="B463" t="s">
        <v>377</v>
      </c>
      <c r="C463" s="9">
        <v>17150</v>
      </c>
      <c r="D463" s="9">
        <v>17150</v>
      </c>
      <c r="E463" s="9">
        <v>20000</v>
      </c>
      <c r="F463" s="9">
        <v>18000</v>
      </c>
      <c r="G463" s="9">
        <f t="shared" si="30"/>
        <v>850</v>
      </c>
      <c r="H463" s="10">
        <f t="shared" si="31"/>
        <v>0.04956268221574344</v>
      </c>
    </row>
    <row r="464" spans="1:8" ht="12.75" hidden="1">
      <c r="A464" t="s">
        <v>378</v>
      </c>
      <c r="B464" t="s">
        <v>379</v>
      </c>
      <c r="C464" s="9">
        <v>30000</v>
      </c>
      <c r="D464" s="9">
        <v>30000</v>
      </c>
      <c r="E464" s="9">
        <v>30000</v>
      </c>
      <c r="F464" s="9">
        <v>30000</v>
      </c>
      <c r="G464" s="9">
        <f t="shared" si="30"/>
        <v>0</v>
      </c>
      <c r="H464" s="10">
        <f t="shared" si="31"/>
        <v>0</v>
      </c>
    </row>
    <row r="465" spans="1:8" ht="12.75" hidden="1">
      <c r="A465" t="s">
        <v>380</v>
      </c>
      <c r="B465" t="s">
        <v>381</v>
      </c>
      <c r="C465" s="9">
        <v>14300</v>
      </c>
      <c r="D465" s="9">
        <v>14300</v>
      </c>
      <c r="E465" s="9">
        <v>17000</v>
      </c>
      <c r="F465" s="9">
        <v>16900</v>
      </c>
      <c r="G465" s="9">
        <f t="shared" si="30"/>
        <v>2600</v>
      </c>
      <c r="H465" s="10">
        <f t="shared" si="31"/>
        <v>0.18181818181818182</v>
      </c>
    </row>
    <row r="466" spans="2:8" ht="12.75" hidden="1">
      <c r="B466" t="s">
        <v>74</v>
      </c>
      <c r="C466" s="9">
        <v>1000</v>
      </c>
      <c r="D466" s="9">
        <v>1000</v>
      </c>
      <c r="E466" s="9">
        <v>0</v>
      </c>
      <c r="F466" s="9">
        <v>0</v>
      </c>
      <c r="G466" s="9">
        <f t="shared" si="30"/>
        <v>-1000</v>
      </c>
      <c r="H466" s="10">
        <f t="shared" si="31"/>
        <v>-1</v>
      </c>
    </row>
    <row r="467" spans="2:8" ht="12.75" hidden="1">
      <c r="B467" t="s">
        <v>34</v>
      </c>
      <c r="C467" s="9">
        <v>12800</v>
      </c>
      <c r="D467" s="9">
        <v>12800</v>
      </c>
      <c r="E467" s="9">
        <v>12800</v>
      </c>
      <c r="F467" s="9">
        <v>10800</v>
      </c>
      <c r="G467" s="9">
        <f t="shared" si="30"/>
        <v>-2000</v>
      </c>
      <c r="H467" s="10">
        <f t="shared" si="31"/>
        <v>-0.15625</v>
      </c>
    </row>
    <row r="468" spans="2:8" ht="12.75" hidden="1">
      <c r="B468" t="s">
        <v>382</v>
      </c>
      <c r="C468" s="9">
        <v>4800</v>
      </c>
      <c r="D468" s="9">
        <v>4800</v>
      </c>
      <c r="E468" s="9">
        <v>6000</v>
      </c>
      <c r="F468" s="9">
        <f>1400*4</f>
        <v>5600</v>
      </c>
      <c r="G468" s="9">
        <f t="shared" si="30"/>
        <v>800</v>
      </c>
      <c r="H468" s="10">
        <f t="shared" si="31"/>
        <v>0.16666666666666666</v>
      </c>
    </row>
    <row r="469" spans="2:8" ht="12.75">
      <c r="B469" s="8" t="s">
        <v>15</v>
      </c>
      <c r="C469" s="11">
        <f>SUM(C457:C468)</f>
        <v>502505</v>
      </c>
      <c r="D469" s="11">
        <f>SUM(D457:D468)</f>
        <v>523799</v>
      </c>
      <c r="E469" s="11">
        <f>SUM(E457:E468)</f>
        <v>543961.036</v>
      </c>
      <c r="F469" s="11">
        <f>SUM(F457:F468)</f>
        <v>532259</v>
      </c>
      <c r="G469" s="11">
        <f>SUM(G457:G468)</f>
        <v>8460</v>
      </c>
      <c r="H469" s="12">
        <f>G469/D469</f>
        <v>0.01615123358387473</v>
      </c>
    </row>
    <row r="470" spans="3:8" ht="12.75" hidden="1">
      <c r="C470" s="9"/>
      <c r="D470" s="9"/>
      <c r="E470" s="9"/>
      <c r="F470" s="9"/>
      <c r="G470" s="9"/>
      <c r="H470" s="10"/>
    </row>
    <row r="471" spans="2:8" ht="12.75" hidden="1">
      <c r="B471" s="19" t="s">
        <v>383</v>
      </c>
      <c r="C471" s="9">
        <v>11000</v>
      </c>
      <c r="D471" s="9">
        <v>10000</v>
      </c>
      <c r="E471" s="9">
        <v>11000</v>
      </c>
      <c r="F471" s="9">
        <v>10000</v>
      </c>
      <c r="G471" s="9">
        <f aca="true" t="shared" si="32" ref="G471:G482">F471-D471</f>
        <v>0</v>
      </c>
      <c r="H471" s="10">
        <f aca="true" t="shared" si="33" ref="H471:H482">G471/D471</f>
        <v>0</v>
      </c>
    </row>
    <row r="472" spans="2:8" ht="12.75" hidden="1">
      <c r="B472" t="s">
        <v>384</v>
      </c>
      <c r="C472" s="9">
        <v>135000</v>
      </c>
      <c r="D472" s="9">
        <v>130000</v>
      </c>
      <c r="E472" s="9">
        <v>135000</v>
      </c>
      <c r="F472" s="9">
        <v>120000</v>
      </c>
      <c r="G472" s="9">
        <f t="shared" si="32"/>
        <v>-10000</v>
      </c>
      <c r="H472" s="10">
        <f t="shared" si="33"/>
        <v>-0.07692307692307693</v>
      </c>
    </row>
    <row r="473" spans="2:8" ht="12.75" hidden="1">
      <c r="B473" t="s">
        <v>226</v>
      </c>
      <c r="C473" s="9">
        <v>18000</v>
      </c>
      <c r="D473" s="9">
        <v>16000</v>
      </c>
      <c r="E473" s="9">
        <v>20000</v>
      </c>
      <c r="F473" s="9">
        <v>16000</v>
      </c>
      <c r="G473" s="9">
        <f t="shared" si="32"/>
        <v>0</v>
      </c>
      <c r="H473" s="10">
        <f t="shared" si="33"/>
        <v>0</v>
      </c>
    </row>
    <row r="474" spans="2:8" ht="12.75" hidden="1">
      <c r="B474" t="s">
        <v>280</v>
      </c>
      <c r="C474" s="29">
        <v>0</v>
      </c>
      <c r="D474" s="29">
        <v>0</v>
      </c>
      <c r="E474" s="29">
        <v>0</v>
      </c>
      <c r="F474" s="29">
        <v>0</v>
      </c>
      <c r="G474" s="9">
        <f t="shared" si="32"/>
        <v>0</v>
      </c>
      <c r="H474" s="10" t="e">
        <f t="shared" si="33"/>
        <v>#DIV/0!</v>
      </c>
    </row>
    <row r="475" spans="2:8" ht="12.75" hidden="1">
      <c r="B475" t="s">
        <v>54</v>
      </c>
      <c r="C475" s="9">
        <v>18000</v>
      </c>
      <c r="D475" s="9">
        <v>18000</v>
      </c>
      <c r="E475" s="9">
        <v>20000</v>
      </c>
      <c r="F475" s="9">
        <v>18000</v>
      </c>
      <c r="G475" s="9">
        <f t="shared" si="32"/>
        <v>0</v>
      </c>
      <c r="H475" s="10">
        <f t="shared" si="33"/>
        <v>0</v>
      </c>
    </row>
    <row r="476" spans="2:8" ht="12.75" hidden="1">
      <c r="B476" t="s">
        <v>385</v>
      </c>
      <c r="C476" s="9">
        <v>19000</v>
      </c>
      <c r="D476" s="9">
        <v>19000</v>
      </c>
      <c r="E476" s="9">
        <v>19000</v>
      </c>
      <c r="F476" s="9">
        <v>19000</v>
      </c>
      <c r="G476" s="9">
        <f t="shared" si="32"/>
        <v>0</v>
      </c>
      <c r="H476" s="10">
        <f t="shared" si="33"/>
        <v>0</v>
      </c>
    </row>
    <row r="477" spans="2:8" ht="12.75" hidden="1">
      <c r="B477" s="20" t="s">
        <v>386</v>
      </c>
      <c r="C477" s="9">
        <v>20000</v>
      </c>
      <c r="D477" s="9">
        <v>15000</v>
      </c>
      <c r="E477" s="9">
        <v>21000</v>
      </c>
      <c r="F477" s="9">
        <v>21000</v>
      </c>
      <c r="G477" s="9">
        <f t="shared" si="32"/>
        <v>6000</v>
      </c>
      <c r="H477" s="10">
        <f t="shared" si="33"/>
        <v>0.4</v>
      </c>
    </row>
    <row r="478" spans="2:8" ht="12.75" hidden="1">
      <c r="B478" t="s">
        <v>387</v>
      </c>
      <c r="C478" s="9">
        <v>9000</v>
      </c>
      <c r="D478" s="9">
        <v>8000</v>
      </c>
      <c r="E478" s="9">
        <v>20000</v>
      </c>
      <c r="F478" s="9">
        <v>13000</v>
      </c>
      <c r="G478" s="9">
        <f t="shared" si="32"/>
        <v>5000</v>
      </c>
      <c r="H478" s="10">
        <f t="shared" si="33"/>
        <v>0.625</v>
      </c>
    </row>
    <row r="479" spans="1:8" ht="12.75" hidden="1">
      <c r="A479" t="s">
        <v>388</v>
      </c>
      <c r="B479" t="s">
        <v>230</v>
      </c>
      <c r="C479" s="9">
        <v>15000</v>
      </c>
      <c r="D479" s="9">
        <v>15000</v>
      </c>
      <c r="E479" s="9">
        <v>18000</v>
      </c>
      <c r="F479" s="9">
        <v>15000</v>
      </c>
      <c r="G479" s="9">
        <f t="shared" si="32"/>
        <v>0</v>
      </c>
      <c r="H479" s="10">
        <f t="shared" si="33"/>
        <v>0</v>
      </c>
    </row>
    <row r="480" spans="1:8" ht="12.75" hidden="1">
      <c r="A480" t="s">
        <v>389</v>
      </c>
      <c r="B480" t="s">
        <v>390</v>
      </c>
      <c r="C480" s="9">
        <v>10000</v>
      </c>
      <c r="D480" s="9">
        <v>10000</v>
      </c>
      <c r="E480" s="9">
        <v>15000</v>
      </c>
      <c r="F480" s="9">
        <v>12000</v>
      </c>
      <c r="G480" s="9">
        <f t="shared" si="32"/>
        <v>2000</v>
      </c>
      <c r="H480" s="10">
        <f t="shared" si="33"/>
        <v>0.2</v>
      </c>
    </row>
    <row r="481" spans="2:8" ht="12.75" hidden="1">
      <c r="B481" s="20" t="s">
        <v>391</v>
      </c>
      <c r="C481" s="9">
        <v>5000</v>
      </c>
      <c r="D481" s="9">
        <v>4000</v>
      </c>
      <c r="E481" s="9">
        <v>6000</v>
      </c>
      <c r="F481" s="9">
        <v>4000</v>
      </c>
      <c r="G481" s="9">
        <f t="shared" si="32"/>
        <v>0</v>
      </c>
      <c r="H481" s="10">
        <f t="shared" si="33"/>
        <v>0</v>
      </c>
    </row>
    <row r="482" spans="2:8" ht="12.75" hidden="1">
      <c r="B482" t="s">
        <v>45</v>
      </c>
      <c r="C482" s="9">
        <v>1000</v>
      </c>
      <c r="D482" s="9">
        <v>1000</v>
      </c>
      <c r="E482" s="9">
        <v>1000</v>
      </c>
      <c r="F482" s="9">
        <v>1000</v>
      </c>
      <c r="G482" s="9">
        <f t="shared" si="32"/>
        <v>0</v>
      </c>
      <c r="H482" s="10">
        <f t="shared" si="33"/>
        <v>0</v>
      </c>
    </row>
    <row r="483" spans="2:8" ht="12.75">
      <c r="B483" s="8" t="s">
        <v>18</v>
      </c>
      <c r="C483" s="11">
        <f>SUM(C471:C482)</f>
        <v>261000</v>
      </c>
      <c r="D483" s="11">
        <f>SUM(D471:D482)</f>
        <v>246000</v>
      </c>
      <c r="E483" s="11">
        <f>SUM(E471:E482)</f>
        <v>286000</v>
      </c>
      <c r="F483" s="11">
        <f>SUM(F471:F482)</f>
        <v>249000</v>
      </c>
      <c r="G483" s="11">
        <f>SUM(G471:G482)</f>
        <v>3000</v>
      </c>
      <c r="H483" s="12">
        <f>G483/D483</f>
        <v>0.012195121951219513</v>
      </c>
    </row>
    <row r="484" spans="3:8" ht="12.75" hidden="1">
      <c r="C484" s="9"/>
      <c r="D484" s="9"/>
      <c r="E484" s="9"/>
      <c r="F484" s="9"/>
      <c r="G484" s="9"/>
      <c r="H484" s="10"/>
    </row>
    <row r="485" spans="2:8" ht="12.75" hidden="1">
      <c r="B485" s="19" t="s">
        <v>47</v>
      </c>
      <c r="C485" s="9">
        <v>3000</v>
      </c>
      <c r="D485" s="9">
        <v>3000</v>
      </c>
      <c r="E485" s="9">
        <v>4000</v>
      </c>
      <c r="F485" s="9">
        <v>3000</v>
      </c>
      <c r="G485" s="9">
        <f aca="true" t="shared" si="34" ref="G485:G493">F485-D485</f>
        <v>0</v>
      </c>
      <c r="H485" s="10">
        <f aca="true" t="shared" si="35" ref="H485:H493">G485/D485</f>
        <v>0</v>
      </c>
    </row>
    <row r="486" spans="1:8" ht="12.75" hidden="1">
      <c r="A486" t="s">
        <v>392</v>
      </c>
      <c r="B486" t="s">
        <v>304</v>
      </c>
      <c r="C486" s="9">
        <v>16000</v>
      </c>
      <c r="D486" s="9">
        <v>16000</v>
      </c>
      <c r="E486" s="9">
        <v>20000</v>
      </c>
      <c r="F486" s="9">
        <v>16000</v>
      </c>
      <c r="G486" s="9">
        <f t="shared" si="34"/>
        <v>0</v>
      </c>
      <c r="H486" s="10">
        <f t="shared" si="35"/>
        <v>0</v>
      </c>
    </row>
    <row r="487" spans="2:8" ht="12.75" hidden="1">
      <c r="B487" t="s">
        <v>393</v>
      </c>
      <c r="C487" s="9">
        <v>50000</v>
      </c>
      <c r="D487" s="9">
        <v>50000</v>
      </c>
      <c r="E487" s="9">
        <v>50000</v>
      </c>
      <c r="F487" s="9">
        <v>50000</v>
      </c>
      <c r="G487" s="9">
        <f t="shared" si="34"/>
        <v>0</v>
      </c>
      <c r="H487" s="10">
        <f t="shared" si="35"/>
        <v>0</v>
      </c>
    </row>
    <row r="488" spans="1:8" ht="12.75" hidden="1">
      <c r="A488" t="s">
        <v>394</v>
      </c>
      <c r="B488" t="s">
        <v>395</v>
      </c>
      <c r="C488" s="29">
        <v>30000</v>
      </c>
      <c r="D488" s="29">
        <v>27000</v>
      </c>
      <c r="E488" s="29">
        <v>35000</v>
      </c>
      <c r="F488" s="29">
        <v>28000</v>
      </c>
      <c r="G488" s="9">
        <f t="shared" si="34"/>
        <v>1000</v>
      </c>
      <c r="H488" s="10">
        <f t="shared" si="35"/>
        <v>0.037037037037037035</v>
      </c>
    </row>
    <row r="489" spans="1:8" ht="12.75" hidden="1">
      <c r="A489" t="s">
        <v>396</v>
      </c>
      <c r="B489" t="s">
        <v>397</v>
      </c>
      <c r="C489" s="9">
        <v>12500</v>
      </c>
      <c r="D489" s="9">
        <v>12500</v>
      </c>
      <c r="E489" s="9">
        <v>16000</v>
      </c>
      <c r="F489" s="9">
        <v>13000</v>
      </c>
      <c r="G489" s="9">
        <f t="shared" si="34"/>
        <v>500</v>
      </c>
      <c r="H489" s="10">
        <f t="shared" si="35"/>
        <v>0.04</v>
      </c>
    </row>
    <row r="490" spans="2:8" ht="12.75" hidden="1">
      <c r="B490" t="s">
        <v>106</v>
      </c>
      <c r="C490" s="9">
        <v>10000</v>
      </c>
      <c r="D490" s="9">
        <v>10000</v>
      </c>
      <c r="E490" s="9">
        <v>12000</v>
      </c>
      <c r="F490" s="9">
        <v>10000</v>
      </c>
      <c r="G490" s="9">
        <f t="shared" si="34"/>
        <v>0</v>
      </c>
      <c r="H490" s="10">
        <f t="shared" si="35"/>
        <v>0</v>
      </c>
    </row>
    <row r="491" spans="2:8" ht="12.75" hidden="1">
      <c r="B491" s="20" t="s">
        <v>386</v>
      </c>
      <c r="C491" s="9"/>
      <c r="D491" s="9"/>
      <c r="E491" s="9">
        <v>5000</v>
      </c>
      <c r="F491" s="9">
        <v>0</v>
      </c>
      <c r="G491" s="9"/>
      <c r="H491" s="10"/>
    </row>
    <row r="492" spans="1:8" ht="12.75" hidden="1">
      <c r="A492" t="s">
        <v>398</v>
      </c>
      <c r="B492" s="20" t="s">
        <v>399</v>
      </c>
      <c r="C492" s="9">
        <v>11000</v>
      </c>
      <c r="D492" s="9">
        <v>8000</v>
      </c>
      <c r="E492" s="9">
        <v>6000</v>
      </c>
      <c r="F492" s="9">
        <v>6000</v>
      </c>
      <c r="G492" s="9">
        <f t="shared" si="34"/>
        <v>-2000</v>
      </c>
      <c r="H492" s="10">
        <f t="shared" si="35"/>
        <v>-0.25</v>
      </c>
    </row>
    <row r="493" spans="1:8" ht="12.75" hidden="1">
      <c r="A493" t="s">
        <v>400</v>
      </c>
      <c r="B493" t="s">
        <v>401</v>
      </c>
      <c r="C493" s="9">
        <v>500</v>
      </c>
      <c r="D493" s="9">
        <v>500</v>
      </c>
      <c r="E493" s="9">
        <v>500</v>
      </c>
      <c r="F493" s="9">
        <v>500</v>
      </c>
      <c r="G493" s="9">
        <f t="shared" si="34"/>
        <v>0</v>
      </c>
      <c r="H493" s="10">
        <f t="shared" si="35"/>
        <v>0</v>
      </c>
    </row>
    <row r="494" spans="2:8" ht="12.75">
      <c r="B494" s="8" t="s">
        <v>48</v>
      </c>
      <c r="C494" s="11">
        <f>SUM(C485:C493)</f>
        <v>133000</v>
      </c>
      <c r="D494" s="11">
        <f>SUM(D485:D493)</f>
        <v>127000</v>
      </c>
      <c r="E494" s="11">
        <f>SUM(E485:E493)</f>
        <v>148500</v>
      </c>
      <c r="F494" s="11">
        <f>SUM(F485:F493)</f>
        <v>126500</v>
      </c>
      <c r="G494" s="11">
        <f>SUM(G485:G493)</f>
        <v>-500</v>
      </c>
      <c r="H494" s="12">
        <f>G494/D494</f>
        <v>-0.003937007874015748</v>
      </c>
    </row>
    <row r="495" spans="2:8" ht="12.75" hidden="1">
      <c r="B495" s="8"/>
      <c r="C495" s="11"/>
      <c r="D495" s="11"/>
      <c r="E495" s="11"/>
      <c r="F495" s="11"/>
      <c r="G495" s="11"/>
      <c r="H495" s="12"/>
    </row>
    <row r="496" spans="1:8" ht="12.75" hidden="1">
      <c r="A496" t="s">
        <v>402</v>
      </c>
      <c r="B496" t="s">
        <v>20</v>
      </c>
      <c r="C496" s="9">
        <v>350</v>
      </c>
      <c r="D496" s="9">
        <v>350</v>
      </c>
      <c r="E496" s="9">
        <v>500</v>
      </c>
      <c r="F496" s="9">
        <v>350</v>
      </c>
      <c r="G496" s="9">
        <f>F496-D496</f>
        <v>0</v>
      </c>
      <c r="H496" s="10">
        <f>G496/D496</f>
        <v>0</v>
      </c>
    </row>
    <row r="497" spans="2:8" ht="12.75" hidden="1">
      <c r="B497" t="s">
        <v>51</v>
      </c>
      <c r="C497" s="9">
        <v>500</v>
      </c>
      <c r="D497" s="9">
        <v>500</v>
      </c>
      <c r="E497" s="9">
        <v>500</v>
      </c>
      <c r="F497" s="9">
        <v>500</v>
      </c>
      <c r="G497" s="9">
        <f>F497-D497</f>
        <v>0</v>
      </c>
      <c r="H497" s="10">
        <f>G497/D497</f>
        <v>0</v>
      </c>
    </row>
    <row r="498" spans="2:8" ht="12.75">
      <c r="B498" s="8" t="s">
        <v>22</v>
      </c>
      <c r="C498" s="11">
        <f>SUM(C496:C497)</f>
        <v>850</v>
      </c>
      <c r="D498" s="11">
        <f>SUM(D496:D497)</f>
        <v>850</v>
      </c>
      <c r="E498" s="11">
        <f>SUM(E496:E497)</f>
        <v>1000</v>
      </c>
      <c r="F498" s="11">
        <f>SUM(F496:F497)</f>
        <v>850</v>
      </c>
      <c r="G498" s="11">
        <f>SUM(G496:G497)</f>
        <v>0</v>
      </c>
      <c r="H498" s="12">
        <f>G498/D498</f>
        <v>0</v>
      </c>
    </row>
    <row r="499" spans="3:8" ht="12.75" hidden="1">
      <c r="C499" s="9"/>
      <c r="D499" s="9"/>
      <c r="E499" s="9"/>
      <c r="F499" s="9"/>
      <c r="G499" s="9"/>
      <c r="H499" s="10"/>
    </row>
    <row r="500" spans="2:8" ht="12.75" hidden="1">
      <c r="B500" t="s">
        <v>297</v>
      </c>
      <c r="C500" s="9">
        <v>17251</v>
      </c>
      <c r="D500" s="9">
        <v>2850</v>
      </c>
      <c r="E500" s="9">
        <v>0</v>
      </c>
      <c r="F500" s="9">
        <v>0</v>
      </c>
      <c r="G500" s="9">
        <f>F500-D500</f>
        <v>-2850</v>
      </c>
      <c r="H500" s="10">
        <f>G500/D500</f>
        <v>-1</v>
      </c>
    </row>
    <row r="501" spans="1:8" ht="12.75" hidden="1">
      <c r="A501" t="s">
        <v>403</v>
      </c>
      <c r="B501" t="s">
        <v>404</v>
      </c>
      <c r="C501" s="9"/>
      <c r="D501" s="9"/>
      <c r="E501" s="9"/>
      <c r="F501" s="9"/>
      <c r="G501" s="9">
        <f>F501-D501</f>
        <v>0</v>
      </c>
      <c r="H501" s="10" t="e">
        <f>G501/D501</f>
        <v>#DIV/0!</v>
      </c>
    </row>
    <row r="502" spans="2:8" ht="12.75">
      <c r="B502" s="8" t="s">
        <v>65</v>
      </c>
      <c r="C502" s="11">
        <f>SUM(C500:C501)</f>
        <v>17251</v>
      </c>
      <c r="D502" s="11">
        <f>SUM(D500:D501)</f>
        <v>2850</v>
      </c>
      <c r="E502" s="11">
        <f>SUM(E500:E501)</f>
        <v>0</v>
      </c>
      <c r="F502" s="11">
        <f>SUM(F500:F501)</f>
        <v>0</v>
      </c>
      <c r="G502" s="11">
        <f>SUM(G500:G501)</f>
        <v>-2850</v>
      </c>
      <c r="H502" s="12">
        <f>G502/D502</f>
        <v>-1</v>
      </c>
    </row>
    <row r="503" spans="3:8" ht="12.75" hidden="1">
      <c r="C503" s="9"/>
      <c r="D503" s="9"/>
      <c r="E503" s="9"/>
      <c r="F503" s="9"/>
      <c r="G503" s="9"/>
      <c r="H503" s="10"/>
    </row>
    <row r="504" spans="2:8" s="15" customFormat="1" ht="12.75">
      <c r="B504" s="16" t="s">
        <v>405</v>
      </c>
      <c r="C504" s="17">
        <f>SUM(C502+C498+C494+C483+C469)</f>
        <v>914606</v>
      </c>
      <c r="D504" s="17">
        <f>SUM(D502+D498+D494+D483+D469)</f>
        <v>900499</v>
      </c>
      <c r="E504" s="17">
        <f>SUM(E502+E498+E494+E483+E469)</f>
        <v>979461.036</v>
      </c>
      <c r="F504" s="17">
        <f>SUM(F502+F498+F494+F483+F469)</f>
        <v>908609</v>
      </c>
      <c r="G504" s="17">
        <f>SUM(G502+G498+G494+G483+G469)</f>
        <v>8110</v>
      </c>
      <c r="H504" s="18">
        <f>G504/D504</f>
        <v>0.009006117719175701</v>
      </c>
    </row>
    <row r="505" spans="3:7" ht="12.75">
      <c r="C505" s="7"/>
      <c r="D505" s="7"/>
      <c r="E505" s="7"/>
      <c r="F505" s="7"/>
      <c r="G505" s="13"/>
    </row>
    <row r="506" spans="2:8" ht="12.75">
      <c r="B506" s="8" t="s">
        <v>406</v>
      </c>
      <c r="C506" s="9"/>
      <c r="D506" s="9"/>
      <c r="E506" s="9"/>
      <c r="F506" s="9"/>
      <c r="G506" s="19"/>
      <c r="H506" s="19"/>
    </row>
    <row r="507" spans="1:8" ht="12.75" hidden="1">
      <c r="A507" t="s">
        <v>407</v>
      </c>
      <c r="B507" t="s">
        <v>408</v>
      </c>
      <c r="C507" s="9">
        <v>5148</v>
      </c>
      <c r="D507" s="9">
        <v>5148</v>
      </c>
      <c r="E507" s="9">
        <v>6200</v>
      </c>
      <c r="F507" s="9">
        <v>5148</v>
      </c>
      <c r="G507" s="9">
        <f>F507-D507</f>
        <v>0</v>
      </c>
      <c r="H507" s="10">
        <f>G507/D507</f>
        <v>0</v>
      </c>
    </row>
    <row r="508" spans="1:8" ht="12.75" hidden="1">
      <c r="A508" t="s">
        <v>409</v>
      </c>
      <c r="B508" t="s">
        <v>410</v>
      </c>
      <c r="C508" s="9">
        <v>11500</v>
      </c>
      <c r="D508" s="9">
        <v>11500</v>
      </c>
      <c r="E508" s="9">
        <v>12000</v>
      </c>
      <c r="F508" s="9">
        <v>12000</v>
      </c>
      <c r="G508" s="9">
        <f>F508-D508</f>
        <v>500</v>
      </c>
      <c r="H508" s="10">
        <f>G508/D508</f>
        <v>0.043478260869565216</v>
      </c>
    </row>
    <row r="509" spans="2:8" ht="12.75">
      <c r="B509" s="8" t="s">
        <v>15</v>
      </c>
      <c r="C509" s="11">
        <f>SUM(C507:C508)</f>
        <v>16648</v>
      </c>
      <c r="D509" s="11">
        <f>SUM(D507:D508)</f>
        <v>16648</v>
      </c>
      <c r="E509" s="11">
        <f>SUM(E507:E508)</f>
        <v>18200</v>
      </c>
      <c r="F509" s="11">
        <f>SUM(F507:F508)</f>
        <v>17148</v>
      </c>
      <c r="G509" s="11">
        <f>SUM(G507:G508)</f>
        <v>500</v>
      </c>
      <c r="H509" s="12">
        <f>G509/D509</f>
        <v>0.030033637674195098</v>
      </c>
    </row>
    <row r="510" spans="3:8" ht="12.75" hidden="1">
      <c r="C510" s="9"/>
      <c r="D510" s="9"/>
      <c r="E510" s="9"/>
      <c r="F510" s="9"/>
      <c r="G510" s="9"/>
      <c r="H510" s="10"/>
    </row>
    <row r="511" spans="1:8" ht="12.75" hidden="1">
      <c r="A511" t="s">
        <v>411</v>
      </c>
      <c r="B511" t="s">
        <v>412</v>
      </c>
      <c r="C511" s="9">
        <v>42700</v>
      </c>
      <c r="D511" s="9">
        <v>40000</v>
      </c>
      <c r="E511" s="9">
        <v>47200</v>
      </c>
      <c r="F511" s="9">
        <v>44000</v>
      </c>
      <c r="G511" s="9">
        <f>F511-D511</f>
        <v>4000</v>
      </c>
      <c r="H511" s="10">
        <f>G511/D511</f>
        <v>0.1</v>
      </c>
    </row>
    <row r="512" spans="2:8" ht="12.75" hidden="1">
      <c r="B512" t="s">
        <v>413</v>
      </c>
      <c r="C512" s="9">
        <v>17000</v>
      </c>
      <c r="D512" s="9">
        <v>16500</v>
      </c>
      <c r="E512" s="9">
        <v>17200</v>
      </c>
      <c r="F512" s="9">
        <v>16500</v>
      </c>
      <c r="G512" s="9">
        <f>F512-D512</f>
        <v>0</v>
      </c>
      <c r="H512" s="10">
        <f>G512/D512</f>
        <v>0</v>
      </c>
    </row>
    <row r="513" spans="1:8" ht="12.75" hidden="1">
      <c r="A513" t="s">
        <v>414</v>
      </c>
      <c r="B513" t="s">
        <v>106</v>
      </c>
      <c r="C513" s="9">
        <v>4500</v>
      </c>
      <c r="D513" s="9">
        <v>4500</v>
      </c>
      <c r="E513" s="9">
        <v>4500</v>
      </c>
      <c r="F513" s="9">
        <v>4500</v>
      </c>
      <c r="G513" s="9">
        <f>F513-D513</f>
        <v>0</v>
      </c>
      <c r="H513" s="10">
        <f>G513/D513</f>
        <v>0</v>
      </c>
    </row>
    <row r="514" spans="2:8" ht="12.75">
      <c r="B514" s="8" t="s">
        <v>18</v>
      </c>
      <c r="C514" s="11">
        <f>SUM(C511:C513)</f>
        <v>64200</v>
      </c>
      <c r="D514" s="11">
        <f>SUM(D511:D513)</f>
        <v>61000</v>
      </c>
      <c r="E514" s="11">
        <f>SUM(E511:E513)</f>
        <v>68900</v>
      </c>
      <c r="F514" s="11">
        <f>SUM(F511:F513)</f>
        <v>65000</v>
      </c>
      <c r="G514" s="11">
        <f>SUM(G511:G513)</f>
        <v>4000</v>
      </c>
      <c r="H514" s="12">
        <f>G514/D514</f>
        <v>0.06557377049180328</v>
      </c>
    </row>
    <row r="515" spans="3:8" ht="12.75" hidden="1">
      <c r="C515" s="13"/>
      <c r="D515" s="13"/>
      <c r="E515" s="13"/>
      <c r="F515" s="13"/>
      <c r="G515" s="13"/>
      <c r="H515" s="14"/>
    </row>
    <row r="516" spans="2:8" s="15" customFormat="1" ht="12.75">
      <c r="B516" s="16" t="s">
        <v>415</v>
      </c>
      <c r="C516" s="17">
        <f>SUM(C514+C509)</f>
        <v>80848</v>
      </c>
      <c r="D516" s="17">
        <f>SUM(D514+D509)</f>
        <v>77648</v>
      </c>
      <c r="E516" s="17">
        <f>SUM(E514+E509)</f>
        <v>87100</v>
      </c>
      <c r="F516" s="17">
        <f>SUM(F514+F509)</f>
        <v>82148</v>
      </c>
      <c r="G516" s="17">
        <f>SUM(G514+G509)</f>
        <v>4500</v>
      </c>
      <c r="H516" s="18">
        <f>G516/D516</f>
        <v>0.05795384298372141</v>
      </c>
    </row>
    <row r="517" spans="3:7" ht="12.75">
      <c r="C517" s="7"/>
      <c r="D517" s="7"/>
      <c r="E517" s="7"/>
      <c r="F517" s="7"/>
      <c r="G517" s="13"/>
    </row>
    <row r="518" spans="2:8" ht="12.75">
      <c r="B518" s="8" t="s">
        <v>416</v>
      </c>
      <c r="C518" s="9"/>
      <c r="D518" s="9"/>
      <c r="E518" s="9"/>
      <c r="F518" s="9"/>
      <c r="G518" s="19"/>
      <c r="H518" s="19"/>
    </row>
    <row r="519" spans="2:8" ht="12.75" hidden="1">
      <c r="B519" t="s">
        <v>417</v>
      </c>
      <c r="C519" s="9"/>
      <c r="D519" s="9"/>
      <c r="E519" s="9"/>
      <c r="F519" s="9"/>
      <c r="G519" s="9">
        <f>F519-D519</f>
        <v>0</v>
      </c>
      <c r="H519" s="10" t="e">
        <f>G519/D519</f>
        <v>#DIV/0!</v>
      </c>
    </row>
    <row r="520" spans="2:8" ht="12.75" hidden="1">
      <c r="B520" t="s">
        <v>418</v>
      </c>
      <c r="C520" s="9">
        <v>30000</v>
      </c>
      <c r="D520" s="9">
        <v>30000</v>
      </c>
      <c r="E520" s="9">
        <v>33920</v>
      </c>
      <c r="F520" s="9">
        <v>30000</v>
      </c>
      <c r="G520" s="9">
        <f>F520-D520</f>
        <v>0</v>
      </c>
      <c r="H520" s="10">
        <f>G520/D520</f>
        <v>0</v>
      </c>
    </row>
    <row r="521" spans="2:8" ht="12.75" hidden="1">
      <c r="B521" t="s">
        <v>419</v>
      </c>
      <c r="C521" s="9">
        <v>24000</v>
      </c>
      <c r="D521" s="9">
        <v>20000</v>
      </c>
      <c r="E521" s="9">
        <v>25000</v>
      </c>
      <c r="F521" s="9">
        <v>25000</v>
      </c>
      <c r="G521" s="9">
        <f>F521-D521</f>
        <v>5000</v>
      </c>
      <c r="H521" s="10">
        <f>G521/D521</f>
        <v>0.25</v>
      </c>
    </row>
    <row r="522" spans="2:8" ht="12.75">
      <c r="B522" s="8" t="s">
        <v>15</v>
      </c>
      <c r="C522" s="11">
        <f>SUM(C519:C521)</f>
        <v>54000</v>
      </c>
      <c r="D522" s="11">
        <f>SUM(D519:D521)</f>
        <v>50000</v>
      </c>
      <c r="E522" s="11">
        <f>SUM(E519:E521)</f>
        <v>58920</v>
      </c>
      <c r="F522" s="11">
        <f>SUM(F519:F521)</f>
        <v>55000</v>
      </c>
      <c r="G522" s="11">
        <f>SUM(G519:G521)</f>
        <v>5000</v>
      </c>
      <c r="H522" s="12">
        <f>G522/D522</f>
        <v>0.1</v>
      </c>
    </row>
    <row r="523" spans="3:8" ht="12.75" hidden="1">
      <c r="C523" s="9"/>
      <c r="D523" s="9"/>
      <c r="E523" s="9"/>
      <c r="F523" s="9"/>
      <c r="G523" s="9"/>
      <c r="H523" s="10"/>
    </row>
    <row r="524" spans="1:8" ht="12.75" hidden="1">
      <c r="A524" t="s">
        <v>420</v>
      </c>
      <c r="B524" t="s">
        <v>224</v>
      </c>
      <c r="C524" s="9">
        <v>7000</v>
      </c>
      <c r="D524" s="9">
        <v>7000</v>
      </c>
      <c r="E524" s="9">
        <v>8000</v>
      </c>
      <c r="F524" s="9">
        <v>7000</v>
      </c>
      <c r="G524" s="9">
        <f>F524-D524</f>
        <v>0</v>
      </c>
      <c r="H524" s="10">
        <f aca="true" t="shared" si="36" ref="H524:H529">G524/D524</f>
        <v>0</v>
      </c>
    </row>
    <row r="525" spans="2:8" ht="12.75" hidden="1">
      <c r="B525" t="s">
        <v>226</v>
      </c>
      <c r="C525" s="9">
        <v>900</v>
      </c>
      <c r="D525" s="9">
        <v>900</v>
      </c>
      <c r="E525" s="9">
        <v>900</v>
      </c>
      <c r="F525" s="9">
        <v>900</v>
      </c>
      <c r="G525" s="9">
        <f>F525-D525</f>
        <v>0</v>
      </c>
      <c r="H525" s="10">
        <f t="shared" si="36"/>
        <v>0</v>
      </c>
    </row>
    <row r="526" spans="2:8" ht="12.75" hidden="1">
      <c r="B526" t="s">
        <v>412</v>
      </c>
      <c r="C526" s="9">
        <v>8000</v>
      </c>
      <c r="D526" s="9">
        <v>7000</v>
      </c>
      <c r="E526" s="9">
        <v>8000</v>
      </c>
      <c r="F526" s="9">
        <v>7000</v>
      </c>
      <c r="G526" s="9">
        <f>F526-D526</f>
        <v>0</v>
      </c>
      <c r="H526" s="10">
        <f t="shared" si="36"/>
        <v>0</v>
      </c>
    </row>
    <row r="527" spans="1:8" ht="12.75" hidden="1">
      <c r="A527" t="s">
        <v>421</v>
      </c>
      <c r="B527" t="s">
        <v>422</v>
      </c>
      <c r="C527" s="9">
        <v>10000</v>
      </c>
      <c r="D527" s="9">
        <v>5000</v>
      </c>
      <c r="E527" s="9">
        <v>10000</v>
      </c>
      <c r="F527" s="9">
        <v>5000</v>
      </c>
      <c r="G527" s="9">
        <f>F527-D527</f>
        <v>0</v>
      </c>
      <c r="H527" s="10">
        <f t="shared" si="36"/>
        <v>0</v>
      </c>
    </row>
    <row r="528" spans="1:8" ht="12.75" hidden="1">
      <c r="A528" t="s">
        <v>423</v>
      </c>
      <c r="B528" t="s">
        <v>45</v>
      </c>
      <c r="C528" s="9">
        <v>400</v>
      </c>
      <c r="D528" s="9">
        <v>400</v>
      </c>
      <c r="E528" s="9">
        <v>400</v>
      </c>
      <c r="F528" s="9">
        <v>400</v>
      </c>
      <c r="G528" s="9">
        <f>F528-D528</f>
        <v>0</v>
      </c>
      <c r="H528" s="10">
        <f t="shared" si="36"/>
        <v>0</v>
      </c>
    </row>
    <row r="529" spans="2:8" ht="12.75">
      <c r="B529" s="8" t="s">
        <v>18</v>
      </c>
      <c r="C529" s="11">
        <f>SUM(C524:C528)</f>
        <v>26300</v>
      </c>
      <c r="D529" s="11">
        <f>SUM(D524:D528)</f>
        <v>20300</v>
      </c>
      <c r="E529" s="11">
        <f>SUM(E524:E528)</f>
        <v>27300</v>
      </c>
      <c r="F529" s="11">
        <f>SUM(F524:F528)</f>
        <v>20300</v>
      </c>
      <c r="G529" s="11">
        <f>SUM(G524:G528)</f>
        <v>0</v>
      </c>
      <c r="H529" s="12">
        <f t="shared" si="36"/>
        <v>0</v>
      </c>
    </row>
    <row r="530" spans="2:8" ht="12.75" hidden="1">
      <c r="B530" s="8"/>
      <c r="C530" s="11"/>
      <c r="D530" s="11"/>
      <c r="E530" s="11"/>
      <c r="F530" s="11"/>
      <c r="G530" s="11"/>
      <c r="H530" s="12"/>
    </row>
    <row r="531" spans="2:8" ht="12.75" hidden="1">
      <c r="B531" t="s">
        <v>247</v>
      </c>
      <c r="C531" s="9">
        <v>15000</v>
      </c>
      <c r="D531" s="9">
        <v>10000</v>
      </c>
      <c r="E531" s="9">
        <v>20000</v>
      </c>
      <c r="F531" s="9">
        <v>12000</v>
      </c>
      <c r="G531" s="9">
        <f>F531-D531</f>
        <v>2000</v>
      </c>
      <c r="H531" s="10">
        <f>G531/D531</f>
        <v>0.2</v>
      </c>
    </row>
    <row r="532" spans="2:8" ht="12.75" hidden="1">
      <c r="B532" t="s">
        <v>106</v>
      </c>
      <c r="C532" s="9">
        <v>4500</v>
      </c>
      <c r="D532" s="9">
        <v>4500</v>
      </c>
      <c r="E532" s="9">
        <v>4500</v>
      </c>
      <c r="F532" s="9">
        <v>4500</v>
      </c>
      <c r="G532" s="9">
        <f>F532-D532</f>
        <v>0</v>
      </c>
      <c r="H532" s="10">
        <f>G532/D532</f>
        <v>0</v>
      </c>
    </row>
    <row r="533" spans="2:8" ht="12.75">
      <c r="B533" s="8" t="s">
        <v>48</v>
      </c>
      <c r="C533" s="11">
        <f>SUM(C531:C532)</f>
        <v>19500</v>
      </c>
      <c r="D533" s="11">
        <f>SUM(D531:D532)</f>
        <v>14500</v>
      </c>
      <c r="E533" s="11">
        <f>SUM(E531:E532)</f>
        <v>24500</v>
      </c>
      <c r="F533" s="11">
        <f>SUM(F531:F532)</f>
        <v>16500</v>
      </c>
      <c r="G533" s="11">
        <f>SUM(G531:G532)</f>
        <v>2000</v>
      </c>
      <c r="H533" s="12">
        <f>G533/D533</f>
        <v>0.13793103448275862</v>
      </c>
    </row>
    <row r="534" spans="3:8" ht="12.75" hidden="1">
      <c r="C534" s="13"/>
      <c r="D534" s="13"/>
      <c r="E534" s="13"/>
      <c r="F534" s="13"/>
      <c r="G534" s="13"/>
      <c r="H534" s="14"/>
    </row>
    <row r="535" spans="1:8" s="15" customFormat="1" ht="12.75">
      <c r="A535" s="16"/>
      <c r="B535" s="16" t="s">
        <v>424</v>
      </c>
      <c r="C535" s="17">
        <f>SUM(C529+C522+C533)</f>
        <v>99800</v>
      </c>
      <c r="D535" s="17">
        <f>SUM(D529+D522+D533)</f>
        <v>84800</v>
      </c>
      <c r="E535" s="17">
        <f>SUM(E529+E522+E533)</f>
        <v>110720</v>
      </c>
      <c r="F535" s="17">
        <f>SUM(F529+F522+F533)</f>
        <v>91800</v>
      </c>
      <c r="G535" s="17">
        <f>SUM(G529+G522+G533)</f>
        <v>7000</v>
      </c>
      <c r="H535" s="18">
        <f>G535/D535</f>
        <v>0.08254716981132075</v>
      </c>
    </row>
    <row r="536" spans="3:7" ht="12.75">
      <c r="C536" s="7"/>
      <c r="D536" s="7"/>
      <c r="E536" s="7"/>
      <c r="F536" s="7"/>
      <c r="G536" s="13"/>
    </row>
    <row r="537" spans="1:8" ht="12.75">
      <c r="A537" s="8"/>
      <c r="B537" s="8" t="s">
        <v>425</v>
      </c>
      <c r="C537" s="9"/>
      <c r="D537" s="9"/>
      <c r="E537" s="9"/>
      <c r="F537" s="9"/>
      <c r="G537" s="19"/>
      <c r="H537" s="19"/>
    </row>
    <row r="538" spans="1:8" ht="12.75" hidden="1">
      <c r="A538" t="s">
        <v>426</v>
      </c>
      <c r="B538" t="s">
        <v>427</v>
      </c>
      <c r="C538" s="9">
        <v>32384</v>
      </c>
      <c r="D538" s="9">
        <v>32384</v>
      </c>
      <c r="E538" s="9">
        <v>33193</v>
      </c>
      <c r="F538" s="9">
        <v>33193</v>
      </c>
      <c r="G538" s="9">
        <f>F538-D538</f>
        <v>809</v>
      </c>
      <c r="H538" s="10">
        <f>G538/D538</f>
        <v>0.024981472332015812</v>
      </c>
    </row>
    <row r="539" spans="1:8" ht="12.75" hidden="1">
      <c r="A539" t="s">
        <v>428</v>
      </c>
      <c r="B539" t="s">
        <v>373</v>
      </c>
      <c r="C539" s="9"/>
      <c r="D539" s="9"/>
      <c r="E539" s="9"/>
      <c r="F539" s="9"/>
      <c r="G539" s="9">
        <f>F539-D539</f>
        <v>0</v>
      </c>
      <c r="H539" s="10" t="e">
        <f>G539/D539</f>
        <v>#DIV/0!</v>
      </c>
    </row>
    <row r="540" spans="1:8" ht="12.75" hidden="1">
      <c r="A540" t="s">
        <v>429</v>
      </c>
      <c r="B540" t="s">
        <v>430</v>
      </c>
      <c r="C540" s="9">
        <v>1600</v>
      </c>
      <c r="D540" s="9">
        <v>1600</v>
      </c>
      <c r="E540" s="9">
        <v>1600</v>
      </c>
      <c r="F540" s="9">
        <v>1600</v>
      </c>
      <c r="G540" s="9">
        <f>F540-D540</f>
        <v>0</v>
      </c>
      <c r="H540" s="10">
        <f>G540/D540</f>
        <v>0</v>
      </c>
    </row>
    <row r="541" spans="2:8" ht="12.75" hidden="1">
      <c r="B541" t="s">
        <v>34</v>
      </c>
      <c r="C541" s="9"/>
      <c r="D541" s="9"/>
      <c r="E541" s="9"/>
      <c r="F541" s="9"/>
      <c r="G541" s="9">
        <f>F541-D541</f>
        <v>0</v>
      </c>
      <c r="H541" s="10" t="e">
        <f>G541/D541</f>
        <v>#DIV/0!</v>
      </c>
    </row>
    <row r="542" spans="2:8" ht="12.75">
      <c r="B542" s="8" t="s">
        <v>15</v>
      </c>
      <c r="C542" s="11">
        <f>SUM(C538:C541)</f>
        <v>33984</v>
      </c>
      <c r="D542" s="11">
        <f>SUM(D538:D541)</f>
        <v>33984</v>
      </c>
      <c r="E542" s="11">
        <f>SUM(E538:E541)</f>
        <v>34793</v>
      </c>
      <c r="F542" s="11">
        <f>SUM(F538:F541)</f>
        <v>34793</v>
      </c>
      <c r="G542" s="11">
        <f>SUM(G538:G541)</f>
        <v>809</v>
      </c>
      <c r="H542" s="12">
        <f>G542/D542</f>
        <v>0.023805320150659132</v>
      </c>
    </row>
    <row r="543" spans="3:8" ht="12.75" hidden="1">
      <c r="C543" s="9"/>
      <c r="D543" s="9"/>
      <c r="E543" s="9"/>
      <c r="F543" s="9"/>
      <c r="G543" s="9"/>
      <c r="H543" s="10"/>
    </row>
    <row r="544" spans="2:8" ht="12.75" hidden="1">
      <c r="B544" t="s">
        <v>431</v>
      </c>
      <c r="C544" s="9"/>
      <c r="D544" s="9"/>
      <c r="E544" s="9"/>
      <c r="F544" s="9"/>
      <c r="G544" s="9"/>
      <c r="H544" s="10"/>
    </row>
    <row r="545" spans="1:8" ht="12.75" hidden="1">
      <c r="A545" t="s">
        <v>432</v>
      </c>
      <c r="B545" t="s">
        <v>433</v>
      </c>
      <c r="C545" s="9">
        <v>5648</v>
      </c>
      <c r="D545" s="9">
        <v>5648</v>
      </c>
      <c r="E545" s="9">
        <v>9600</v>
      </c>
      <c r="F545" s="9">
        <v>7280</v>
      </c>
      <c r="G545" s="9">
        <f>F545-D545</f>
        <v>1632</v>
      </c>
      <c r="H545" s="10">
        <f>G545/D545</f>
        <v>0.28895184135977336</v>
      </c>
    </row>
    <row r="546" spans="1:8" ht="12.75" hidden="1">
      <c r="A546" t="s">
        <v>434</v>
      </c>
      <c r="B546" t="s">
        <v>390</v>
      </c>
      <c r="C546" s="9"/>
      <c r="D546" s="9"/>
      <c r="E546" s="9"/>
      <c r="F546" s="9"/>
      <c r="G546" s="9">
        <f>F546-D546</f>
        <v>0</v>
      </c>
      <c r="H546" s="10" t="e">
        <f>G546/D546</f>
        <v>#DIV/0!</v>
      </c>
    </row>
    <row r="547" spans="1:8" ht="12.75" hidden="1">
      <c r="A547" t="s">
        <v>435</v>
      </c>
      <c r="B547" t="s">
        <v>45</v>
      </c>
      <c r="C547" s="9">
        <v>1300</v>
      </c>
      <c r="D547" s="9">
        <v>1300</v>
      </c>
      <c r="E547" s="9">
        <v>780</v>
      </c>
      <c r="F547" s="9">
        <v>780</v>
      </c>
      <c r="G547" s="9">
        <f>F547-D547</f>
        <v>-520</v>
      </c>
      <c r="H547" s="10">
        <f>G547/D547</f>
        <v>-0.4</v>
      </c>
    </row>
    <row r="548" spans="1:8" ht="12.75" hidden="1">
      <c r="A548" t="s">
        <v>436</v>
      </c>
      <c r="B548" t="s">
        <v>437</v>
      </c>
      <c r="C548" s="9"/>
      <c r="D548" s="9"/>
      <c r="E548" s="9">
        <v>2250</v>
      </c>
      <c r="F548" s="9">
        <v>2250</v>
      </c>
      <c r="G548" s="9">
        <f>F548-D548</f>
        <v>2250</v>
      </c>
      <c r="H548" s="10" t="e">
        <f>G548/D548</f>
        <v>#DIV/0!</v>
      </c>
    </row>
    <row r="549" spans="2:8" ht="12.75">
      <c r="B549" s="8" t="s">
        <v>18</v>
      </c>
      <c r="C549" s="11">
        <f>SUM(C545:C548)</f>
        <v>6948</v>
      </c>
      <c r="D549" s="11">
        <f>SUM(D545:D548)</f>
        <v>6948</v>
      </c>
      <c r="E549" s="11">
        <f>SUM(E545:E548)</f>
        <v>12630</v>
      </c>
      <c r="F549" s="11">
        <f>SUM(F545:F548)</f>
        <v>10310</v>
      </c>
      <c r="G549" s="11">
        <f>SUM(G545:G548)</f>
        <v>3362</v>
      </c>
      <c r="H549" s="12">
        <f>G549/D549</f>
        <v>0.4838802533103051</v>
      </c>
    </row>
    <row r="550" spans="3:8" ht="12.75" hidden="1">
      <c r="C550" s="9"/>
      <c r="D550" s="9"/>
      <c r="E550" s="9"/>
      <c r="F550" s="9"/>
      <c r="G550" s="9"/>
      <c r="H550" s="10"/>
    </row>
    <row r="551" spans="1:8" ht="12.75" hidden="1">
      <c r="A551" t="s">
        <v>438</v>
      </c>
      <c r="B551" t="s">
        <v>47</v>
      </c>
      <c r="C551" s="9">
        <v>1000</v>
      </c>
      <c r="D551" s="9">
        <v>1000</v>
      </c>
      <c r="E551" s="9">
        <v>1000</v>
      </c>
      <c r="F551" s="9">
        <v>1000</v>
      </c>
      <c r="G551" s="9">
        <f>F551-D551</f>
        <v>0</v>
      </c>
      <c r="H551" s="10">
        <f>G551/D551</f>
        <v>0</v>
      </c>
    </row>
    <row r="552" spans="2:8" ht="12.75" hidden="1">
      <c r="B552" t="s">
        <v>106</v>
      </c>
      <c r="C552" s="9"/>
      <c r="D552" s="9"/>
      <c r="E552" s="9"/>
      <c r="F552" s="9"/>
      <c r="G552" s="9">
        <f>F552-D552</f>
        <v>0</v>
      </c>
      <c r="H552" s="10" t="e">
        <f>G552/D552</f>
        <v>#DIV/0!</v>
      </c>
    </row>
    <row r="553" spans="2:8" ht="12.75">
      <c r="B553" s="8" t="s">
        <v>48</v>
      </c>
      <c r="C553" s="11">
        <f>SUM(C551:C552)</f>
        <v>1000</v>
      </c>
      <c r="D553" s="11">
        <f>SUM(D551:D552)</f>
        <v>1000</v>
      </c>
      <c r="E553" s="11">
        <f>SUM(E551:E552)</f>
        <v>1000</v>
      </c>
      <c r="F553" s="11">
        <f>SUM(F551:F552)</f>
        <v>1000</v>
      </c>
      <c r="G553" s="11">
        <f>SUM(G551:G552)</f>
        <v>0</v>
      </c>
      <c r="H553" s="12">
        <f>G553/D553</f>
        <v>0</v>
      </c>
    </row>
    <row r="554" spans="3:8" ht="12.75" hidden="1">
      <c r="C554" s="9"/>
      <c r="D554" s="9"/>
      <c r="E554" s="9"/>
      <c r="F554" s="9"/>
      <c r="G554" s="9"/>
      <c r="H554" s="10"/>
    </row>
    <row r="555" spans="1:8" ht="12.75" hidden="1">
      <c r="A555" t="s">
        <v>439</v>
      </c>
      <c r="B555" t="s">
        <v>20</v>
      </c>
      <c r="C555" s="9">
        <v>3240</v>
      </c>
      <c r="D555" s="9">
        <v>3240</v>
      </c>
      <c r="E555" s="9">
        <v>3480</v>
      </c>
      <c r="F555" s="9">
        <v>3240</v>
      </c>
      <c r="G555" s="9">
        <f>F555-D555</f>
        <v>0</v>
      </c>
      <c r="H555" s="10">
        <f>G555/D555</f>
        <v>0</v>
      </c>
    </row>
    <row r="556" spans="2:8" ht="12.75" hidden="1">
      <c r="B556" t="s">
        <v>51</v>
      </c>
      <c r="C556" s="9">
        <v>500</v>
      </c>
      <c r="D556" s="9">
        <v>500</v>
      </c>
      <c r="E556" s="9">
        <v>500</v>
      </c>
      <c r="F556" s="9">
        <v>500</v>
      </c>
      <c r="G556" s="9">
        <f>F556-D556</f>
        <v>0</v>
      </c>
      <c r="H556" s="10">
        <f>G556/D556</f>
        <v>0</v>
      </c>
    </row>
    <row r="557" spans="2:8" ht="12.75">
      <c r="B557" s="8" t="s">
        <v>22</v>
      </c>
      <c r="C557" s="11">
        <f>SUM(C555:C556)</f>
        <v>3740</v>
      </c>
      <c r="D557" s="11">
        <f>SUM(D555:D556)</f>
        <v>3740</v>
      </c>
      <c r="E557" s="11">
        <f>SUM(E555:E556)</f>
        <v>3980</v>
      </c>
      <c r="F557" s="11">
        <f>SUM(F555:F556)</f>
        <v>3740</v>
      </c>
      <c r="G557" s="11">
        <f>SUM(G555:G556)</f>
        <v>0</v>
      </c>
      <c r="H557" s="12">
        <f>G557/D557</f>
        <v>0</v>
      </c>
    </row>
    <row r="558" spans="3:8" ht="12.75" hidden="1">
      <c r="C558" s="13"/>
      <c r="D558" s="13"/>
      <c r="E558" s="13"/>
      <c r="F558" s="13"/>
      <c r="G558" s="13"/>
      <c r="H558" s="14"/>
    </row>
    <row r="559" spans="1:8" s="15" customFormat="1" ht="12.75">
      <c r="A559" s="16"/>
      <c r="B559" s="16" t="s">
        <v>440</v>
      </c>
      <c r="C559" s="17">
        <f>SUM(C557+C553+C549+C542)</f>
        <v>45672</v>
      </c>
      <c r="D559" s="17">
        <f>SUM(D557+D553+D549+D542)</f>
        <v>45672</v>
      </c>
      <c r="E559" s="17">
        <f>SUM(E557+E553+E549+E542)</f>
        <v>52403</v>
      </c>
      <c r="F559" s="17">
        <f>SUM(F557+F553+F549+F542)</f>
        <v>49843</v>
      </c>
      <c r="G559" s="17">
        <f>SUM(G557+G553+G549+G542)</f>
        <v>4171</v>
      </c>
      <c r="H559" s="18">
        <f>G559/D559</f>
        <v>0.0913251007181643</v>
      </c>
    </row>
    <row r="560" spans="3:7" ht="12.75">
      <c r="C560" s="7"/>
      <c r="D560" s="7"/>
      <c r="E560" s="7"/>
      <c r="F560" s="7"/>
      <c r="G560" s="13"/>
    </row>
    <row r="561" spans="1:8" ht="12.75">
      <c r="A561" s="8"/>
      <c r="B561" s="8" t="s">
        <v>441</v>
      </c>
      <c r="C561" s="9"/>
      <c r="D561" s="9"/>
      <c r="E561" s="9"/>
      <c r="F561" s="9"/>
      <c r="G561" s="19"/>
      <c r="H561" s="19"/>
    </row>
    <row r="562" spans="1:8" ht="12.75" hidden="1">
      <c r="A562" t="s">
        <v>442</v>
      </c>
      <c r="B562" t="s">
        <v>443</v>
      </c>
      <c r="C562" s="35">
        <v>49370</v>
      </c>
      <c r="D562" s="35">
        <v>49370</v>
      </c>
      <c r="E562" s="22">
        <v>52616</v>
      </c>
      <c r="F562" s="22">
        <v>54200</v>
      </c>
      <c r="G562" s="9">
        <f aca="true" t="shared" si="37" ref="G562:G570">F562-D562</f>
        <v>4830</v>
      </c>
      <c r="H562" s="10">
        <f aca="true" t="shared" si="38" ref="H562:H570">G562/D562</f>
        <v>0.09783269191816893</v>
      </c>
    </row>
    <row r="563" spans="2:8" ht="12.75" hidden="1">
      <c r="B563" t="s">
        <v>444</v>
      </c>
      <c r="C563" s="35">
        <v>17784</v>
      </c>
      <c r="D563" s="35">
        <v>17784</v>
      </c>
      <c r="E563" s="35">
        <v>18317</v>
      </c>
      <c r="F563" s="35">
        <v>18317</v>
      </c>
      <c r="G563" s="9">
        <f t="shared" si="37"/>
        <v>533</v>
      </c>
      <c r="H563" s="10">
        <f t="shared" si="38"/>
        <v>0.029970760233918127</v>
      </c>
    </row>
    <row r="564" spans="1:8" ht="12.75" hidden="1">
      <c r="A564" t="s">
        <v>445</v>
      </c>
      <c r="B564" t="s">
        <v>446</v>
      </c>
      <c r="C564" s="35">
        <v>14976</v>
      </c>
      <c r="D564" s="35">
        <v>14976</v>
      </c>
      <c r="E564" s="35">
        <v>15425</v>
      </c>
      <c r="F564" s="35">
        <v>15425</v>
      </c>
      <c r="G564" s="9">
        <f t="shared" si="37"/>
        <v>449</v>
      </c>
      <c r="H564" s="10">
        <f t="shared" si="38"/>
        <v>0.02998130341880342</v>
      </c>
    </row>
    <row r="565" spans="1:8" ht="12.75" hidden="1">
      <c r="A565" t="s">
        <v>447</v>
      </c>
      <c r="B565" t="s">
        <v>448</v>
      </c>
      <c r="C565" s="35">
        <v>16796</v>
      </c>
      <c r="D565" s="35">
        <v>7020</v>
      </c>
      <c r="E565" s="35">
        <v>14144</v>
      </c>
      <c r="F565" s="35">
        <f>14144*0.5</f>
        <v>7072</v>
      </c>
      <c r="G565" s="9">
        <f t="shared" si="37"/>
        <v>52</v>
      </c>
      <c r="H565" s="10">
        <f t="shared" si="38"/>
        <v>0.007407407407407408</v>
      </c>
    </row>
    <row r="566" spans="1:8" ht="12.75" hidden="1">
      <c r="A566" t="s">
        <v>449</v>
      </c>
      <c r="B566" t="s">
        <v>450</v>
      </c>
      <c r="C566" s="35">
        <v>6240</v>
      </c>
      <c r="D566" s="35">
        <v>5200</v>
      </c>
      <c r="E566" s="35">
        <v>5824</v>
      </c>
      <c r="F566" s="35">
        <v>5500</v>
      </c>
      <c r="G566" s="9">
        <f t="shared" si="37"/>
        <v>300</v>
      </c>
      <c r="H566" s="10">
        <f t="shared" si="38"/>
        <v>0.057692307692307696</v>
      </c>
    </row>
    <row r="567" spans="2:8" ht="12.75" hidden="1">
      <c r="B567" t="s">
        <v>451</v>
      </c>
      <c r="C567" s="35"/>
      <c r="D567" s="35"/>
      <c r="E567" s="22"/>
      <c r="F567" s="22"/>
      <c r="G567" s="9">
        <f t="shared" si="37"/>
        <v>0</v>
      </c>
      <c r="H567" s="10" t="e">
        <f t="shared" si="38"/>
        <v>#DIV/0!</v>
      </c>
    </row>
    <row r="568" spans="2:8" ht="12.75" hidden="1">
      <c r="B568" t="s">
        <v>74</v>
      </c>
      <c r="C568" s="35">
        <v>1500</v>
      </c>
      <c r="D568" s="35">
        <v>1500</v>
      </c>
      <c r="E568" s="35">
        <v>1500</v>
      </c>
      <c r="F568" s="35">
        <v>1500</v>
      </c>
      <c r="G568" s="9">
        <f t="shared" si="37"/>
        <v>0</v>
      </c>
      <c r="H568" s="10">
        <f t="shared" si="38"/>
        <v>0</v>
      </c>
    </row>
    <row r="569" spans="2:8" ht="12.75" hidden="1">
      <c r="B569" t="s">
        <v>34</v>
      </c>
      <c r="C569" s="35">
        <v>1200</v>
      </c>
      <c r="D569" s="35">
        <v>1200</v>
      </c>
      <c r="E569" s="35">
        <v>1400</v>
      </c>
      <c r="F569" s="35">
        <v>1400</v>
      </c>
      <c r="G569" s="9">
        <f>F569-D569</f>
        <v>200</v>
      </c>
      <c r="H569" s="10">
        <f>G569/D569</f>
        <v>0.16666666666666666</v>
      </c>
    </row>
    <row r="570" spans="2:8" ht="12.75" hidden="1">
      <c r="B570" t="s">
        <v>75</v>
      </c>
      <c r="C570" s="35"/>
      <c r="D570" s="35"/>
      <c r="E570" s="35">
        <v>1000</v>
      </c>
      <c r="F570" s="35">
        <v>1000</v>
      </c>
      <c r="G570" s="9">
        <f t="shared" si="37"/>
        <v>1000</v>
      </c>
      <c r="H570" s="10" t="e">
        <f t="shared" si="38"/>
        <v>#DIV/0!</v>
      </c>
    </row>
    <row r="571" spans="2:8" ht="12.75">
      <c r="B571" s="8" t="s">
        <v>15</v>
      </c>
      <c r="C571" s="22">
        <f>SUM(C562:C570)</f>
        <v>107866</v>
      </c>
      <c r="D571" s="22">
        <f>SUM(D562:D570)</f>
        <v>97050</v>
      </c>
      <c r="E571" s="22">
        <f>SUM(E562:E570)</f>
        <v>110226</v>
      </c>
      <c r="F571" s="22">
        <f>SUM(F562:F570)</f>
        <v>104414</v>
      </c>
      <c r="G571" s="11">
        <f>SUM(G562:G570)</f>
        <v>7364</v>
      </c>
      <c r="H571" s="12">
        <f>G571/D571</f>
        <v>0.0758784131890778</v>
      </c>
    </row>
    <row r="572" spans="3:8" ht="12.75" hidden="1">
      <c r="C572" s="35"/>
      <c r="D572" s="35"/>
      <c r="E572" s="35"/>
      <c r="F572" s="35"/>
      <c r="G572" s="9"/>
      <c r="H572" s="10"/>
    </row>
    <row r="573" spans="1:8" ht="12.75" hidden="1">
      <c r="A573" t="s">
        <v>452</v>
      </c>
      <c r="B573" t="s">
        <v>278</v>
      </c>
      <c r="C573" s="35">
        <v>8000</v>
      </c>
      <c r="D573" s="35">
        <v>8000</v>
      </c>
      <c r="E573" s="35">
        <v>5000</v>
      </c>
      <c r="F573" s="35">
        <v>5000</v>
      </c>
      <c r="G573" s="9">
        <f aca="true" t="shared" si="39" ref="G573:G581">F573-D573</f>
        <v>-3000</v>
      </c>
      <c r="H573" s="10">
        <f aca="true" t="shared" si="40" ref="H573:H581">G573/D573</f>
        <v>-0.375</v>
      </c>
    </row>
    <row r="574" spans="2:8" ht="12.75" hidden="1">
      <c r="B574" t="s">
        <v>279</v>
      </c>
      <c r="C574" s="35">
        <v>5000</v>
      </c>
      <c r="D574" s="35">
        <v>5000</v>
      </c>
      <c r="E574" s="35">
        <v>8000</v>
      </c>
      <c r="F574" s="35">
        <v>6000</v>
      </c>
      <c r="G574" s="9">
        <f t="shared" si="39"/>
        <v>1000</v>
      </c>
      <c r="H574" s="10">
        <f t="shared" si="40"/>
        <v>0.2</v>
      </c>
    </row>
    <row r="575" spans="2:8" ht="12.75" hidden="1">
      <c r="B575" t="s">
        <v>453</v>
      </c>
      <c r="C575" s="35">
        <v>1000</v>
      </c>
      <c r="D575" s="35">
        <v>1000</v>
      </c>
      <c r="E575" s="35">
        <v>1000</v>
      </c>
      <c r="F575" s="35">
        <v>1000</v>
      </c>
      <c r="G575" s="9">
        <f t="shared" si="39"/>
        <v>0</v>
      </c>
      <c r="H575" s="10">
        <f t="shared" si="40"/>
        <v>0</v>
      </c>
    </row>
    <row r="576" spans="2:8" ht="12.75" hidden="1">
      <c r="B576" t="s">
        <v>454</v>
      </c>
      <c r="C576" s="35">
        <v>3000</v>
      </c>
      <c r="D576" s="35">
        <v>3000</v>
      </c>
      <c r="E576" s="35">
        <v>3000</v>
      </c>
      <c r="F576" s="35">
        <v>3000</v>
      </c>
      <c r="G576" s="9">
        <f t="shared" si="39"/>
        <v>0</v>
      </c>
      <c r="H576" s="10">
        <f t="shared" si="40"/>
        <v>0</v>
      </c>
    </row>
    <row r="577" spans="1:8" ht="12.75" hidden="1">
      <c r="A577" t="s">
        <v>455</v>
      </c>
      <c r="B577" t="s">
        <v>456</v>
      </c>
      <c r="C577" s="35">
        <v>500</v>
      </c>
      <c r="D577" s="35">
        <v>500</v>
      </c>
      <c r="E577" s="35">
        <v>500</v>
      </c>
      <c r="F577" s="35">
        <v>500</v>
      </c>
      <c r="G577" s="9">
        <f t="shared" si="39"/>
        <v>0</v>
      </c>
      <c r="H577" s="10">
        <f t="shared" si="40"/>
        <v>0</v>
      </c>
    </row>
    <row r="578" spans="1:10" ht="12.75" hidden="1">
      <c r="A578" t="s">
        <v>457</v>
      </c>
      <c r="B578" t="s">
        <v>390</v>
      </c>
      <c r="C578" s="35"/>
      <c r="D578" s="35"/>
      <c r="E578" s="35"/>
      <c r="F578" s="35"/>
      <c r="G578" s="9">
        <f t="shared" si="39"/>
        <v>0</v>
      </c>
      <c r="H578" s="10" t="e">
        <f t="shared" si="40"/>
        <v>#DIV/0!</v>
      </c>
      <c r="J578">
        <f>150*12</f>
        <v>1800</v>
      </c>
    </row>
    <row r="579" spans="2:10" ht="12.75" hidden="1">
      <c r="B579" t="s">
        <v>45</v>
      </c>
      <c r="C579" s="35">
        <v>2000</v>
      </c>
      <c r="D579" s="35">
        <v>2000</v>
      </c>
      <c r="E579" s="35">
        <v>2000</v>
      </c>
      <c r="F579" s="35">
        <v>2000</v>
      </c>
      <c r="G579" s="9">
        <f t="shared" si="39"/>
        <v>0</v>
      </c>
      <c r="H579" s="10">
        <f t="shared" si="40"/>
        <v>0</v>
      </c>
      <c r="J579">
        <f>60*12</f>
        <v>720</v>
      </c>
    </row>
    <row r="580" spans="2:8" ht="12.75" hidden="1">
      <c r="B580" t="s">
        <v>58</v>
      </c>
      <c r="C580" s="35"/>
      <c r="D580" s="35"/>
      <c r="E580" s="35"/>
      <c r="F580" s="35"/>
      <c r="G580" s="9">
        <f t="shared" si="39"/>
        <v>0</v>
      </c>
      <c r="H580" s="10" t="e">
        <f t="shared" si="40"/>
        <v>#DIV/0!</v>
      </c>
    </row>
    <row r="581" spans="1:8" ht="12.75" hidden="1">
      <c r="A581" t="s">
        <v>458</v>
      </c>
      <c r="B581" t="s">
        <v>459</v>
      </c>
      <c r="C581" s="35">
        <v>1000</v>
      </c>
      <c r="D581" s="35">
        <v>1000</v>
      </c>
      <c r="E581" s="35">
        <v>1000</v>
      </c>
      <c r="F581" s="35">
        <v>1000</v>
      </c>
      <c r="G581" s="9">
        <f t="shared" si="39"/>
        <v>0</v>
      </c>
      <c r="H581" s="10">
        <f t="shared" si="40"/>
        <v>0</v>
      </c>
    </row>
    <row r="582" spans="2:8" ht="12.75">
      <c r="B582" s="8" t="s">
        <v>18</v>
      </c>
      <c r="C582" s="22">
        <f>SUM(C573:C581)</f>
        <v>20500</v>
      </c>
      <c r="D582" s="22">
        <f>SUM(D573:D581)</f>
        <v>20500</v>
      </c>
      <c r="E582" s="22">
        <f>SUM(E573:E581)</f>
        <v>20500</v>
      </c>
      <c r="F582" s="22">
        <f>SUM(F573:F581)</f>
        <v>18500</v>
      </c>
      <c r="G582" s="11">
        <f>SUM(G573:G581)</f>
        <v>-2000</v>
      </c>
      <c r="H582" s="12">
        <f>G582/D582</f>
        <v>-0.0975609756097561</v>
      </c>
    </row>
    <row r="583" spans="3:8" ht="12.75" hidden="1">
      <c r="C583" s="35"/>
      <c r="D583" s="35"/>
      <c r="E583" s="35"/>
      <c r="F583" s="35"/>
      <c r="G583" s="9"/>
      <c r="H583" s="10"/>
    </row>
    <row r="584" spans="1:8" ht="12.75" hidden="1">
      <c r="A584" t="s">
        <v>460</v>
      </c>
      <c r="B584" t="s">
        <v>47</v>
      </c>
      <c r="C584" s="35">
        <v>1500</v>
      </c>
      <c r="D584" s="35">
        <v>1500</v>
      </c>
      <c r="E584" s="35">
        <v>1500</v>
      </c>
      <c r="F584" s="35">
        <v>1500</v>
      </c>
      <c r="G584" s="9">
        <f>F584-D584</f>
        <v>0</v>
      </c>
      <c r="H584" s="10">
        <f>G584/D584</f>
        <v>0</v>
      </c>
    </row>
    <row r="585" spans="2:8" ht="12.75" hidden="1">
      <c r="B585" t="s">
        <v>106</v>
      </c>
      <c r="C585" s="35">
        <v>3000</v>
      </c>
      <c r="D585" s="35">
        <v>3000</v>
      </c>
      <c r="E585" s="35">
        <v>3000</v>
      </c>
      <c r="F585" s="35">
        <v>3000</v>
      </c>
      <c r="G585" s="9">
        <f>F585-D585</f>
        <v>0</v>
      </c>
      <c r="H585" s="10">
        <f>G585/D585</f>
        <v>0</v>
      </c>
    </row>
    <row r="586" spans="2:8" ht="12.75">
      <c r="B586" s="8" t="s">
        <v>48</v>
      </c>
      <c r="C586" s="22">
        <f>SUM(C584:C585)</f>
        <v>4500</v>
      </c>
      <c r="D586" s="22">
        <f>SUM(D584:D585)</f>
        <v>4500</v>
      </c>
      <c r="E586" s="22">
        <f>SUM(E584:E585)</f>
        <v>4500</v>
      </c>
      <c r="F586" s="22">
        <f>SUM(F584:F585)</f>
        <v>4500</v>
      </c>
      <c r="G586" s="11">
        <f>SUM(G584:G585)</f>
        <v>0</v>
      </c>
      <c r="H586" s="12">
        <f>G586/D586</f>
        <v>0</v>
      </c>
    </row>
    <row r="587" spans="3:8" ht="12.75" hidden="1">
      <c r="C587" s="35"/>
      <c r="D587" s="35"/>
      <c r="E587" s="35"/>
      <c r="F587" s="35"/>
      <c r="G587" s="9"/>
      <c r="H587" s="10"/>
    </row>
    <row r="588" spans="1:8" ht="12.75" hidden="1">
      <c r="A588" t="s">
        <v>461</v>
      </c>
      <c r="B588" t="s">
        <v>20</v>
      </c>
      <c r="C588" s="35">
        <v>500</v>
      </c>
      <c r="D588" s="35">
        <v>500</v>
      </c>
      <c r="E588" s="35">
        <v>500</v>
      </c>
      <c r="F588" s="35">
        <v>500</v>
      </c>
      <c r="G588" s="9">
        <f>F588-D588</f>
        <v>0</v>
      </c>
      <c r="H588" s="10">
        <f>G588/D588</f>
        <v>0</v>
      </c>
    </row>
    <row r="589" spans="2:8" ht="12.75" hidden="1">
      <c r="B589" t="s">
        <v>51</v>
      </c>
      <c r="C589" s="35">
        <v>1000</v>
      </c>
      <c r="D589" s="35">
        <v>1000</v>
      </c>
      <c r="E589" s="35">
        <v>1000</v>
      </c>
      <c r="F589" s="35">
        <v>1000</v>
      </c>
      <c r="G589" s="9">
        <f>F589-D589</f>
        <v>0</v>
      </c>
      <c r="H589" s="10">
        <f>G589/D589</f>
        <v>0</v>
      </c>
    </row>
    <row r="590" spans="2:8" ht="12.75">
      <c r="B590" s="8" t="s">
        <v>22</v>
      </c>
      <c r="C590" s="11">
        <f>SUM(C588:C589)</f>
        <v>1500</v>
      </c>
      <c r="D590" s="11">
        <f>SUM(D588:D589)</f>
        <v>1500</v>
      </c>
      <c r="E590" s="11">
        <f>SUM(E588:E589)</f>
        <v>1500</v>
      </c>
      <c r="F590" s="11">
        <f>SUM(F588:F589)</f>
        <v>1500</v>
      </c>
      <c r="G590" s="11">
        <f>SUM(G588:G589)</f>
        <v>0</v>
      </c>
      <c r="H590" s="12">
        <f>G590/D590</f>
        <v>0</v>
      </c>
    </row>
    <row r="591" spans="2:8" ht="12.75" hidden="1">
      <c r="B591" s="8"/>
      <c r="C591" s="11"/>
      <c r="D591" s="11"/>
      <c r="E591" s="11"/>
      <c r="F591" s="11"/>
      <c r="G591" s="11"/>
      <c r="H591" s="12"/>
    </row>
    <row r="592" spans="1:8" ht="12.75" hidden="1">
      <c r="A592" t="s">
        <v>462</v>
      </c>
      <c r="B592" s="20" t="s">
        <v>297</v>
      </c>
      <c r="C592" s="9"/>
      <c r="D592" s="9"/>
      <c r="E592" s="9"/>
      <c r="F592" s="9"/>
      <c r="G592" s="9">
        <f>F592-D592</f>
        <v>0</v>
      </c>
      <c r="H592" s="10" t="e">
        <f>G592/D592</f>
        <v>#DIV/0!</v>
      </c>
    </row>
    <row r="593" spans="2:8" ht="12.75">
      <c r="B593" s="8" t="s">
        <v>463</v>
      </c>
      <c r="C593" s="11">
        <f>SUM(C592)</f>
        <v>0</v>
      </c>
      <c r="D593" s="11">
        <f>SUM(D592)</f>
        <v>0</v>
      </c>
      <c r="E593" s="11">
        <f>SUM(E592)</f>
        <v>0</v>
      </c>
      <c r="F593" s="11">
        <f>SUM(F592)</f>
        <v>0</v>
      </c>
      <c r="G593" s="11">
        <f>SUM(G592)</f>
        <v>0</v>
      </c>
      <c r="H593" s="12" t="e">
        <f>G593/D593</f>
        <v>#DIV/0!</v>
      </c>
    </row>
    <row r="594" spans="3:8" ht="12.75" hidden="1">
      <c r="C594" s="13"/>
      <c r="D594" s="13"/>
      <c r="E594" s="13"/>
      <c r="F594" s="13"/>
      <c r="G594" s="13"/>
      <c r="H594" s="14"/>
    </row>
    <row r="595" spans="1:8" s="15" customFormat="1" ht="12.75">
      <c r="A595" s="16"/>
      <c r="B595" s="16" t="s">
        <v>464</v>
      </c>
      <c r="C595" s="17">
        <f>SUM(C593+C590+C586+C582+C571)</f>
        <v>134366</v>
      </c>
      <c r="D595" s="17">
        <f>SUM(D593+D590+D586+D582+D571)</f>
        <v>123550</v>
      </c>
      <c r="E595" s="17">
        <f>SUM(E593+E590+E586+E582+E571)</f>
        <v>136726</v>
      </c>
      <c r="F595" s="17">
        <f>SUM(F593+F590+F586+F582+F571)</f>
        <v>128914</v>
      </c>
      <c r="G595" s="17">
        <f>SUM(G593+G590+G586+G582+G571)</f>
        <v>5364</v>
      </c>
      <c r="H595" s="18">
        <f>G595/D595</f>
        <v>0.04341562120598948</v>
      </c>
    </row>
    <row r="596" spans="3:7" ht="12.75">
      <c r="C596" s="7"/>
      <c r="D596" s="7"/>
      <c r="E596" s="7"/>
      <c r="F596" s="7"/>
      <c r="G596" s="13"/>
    </row>
    <row r="597" spans="1:8" ht="12.75">
      <c r="A597" s="8"/>
      <c r="B597" s="8" t="s">
        <v>465</v>
      </c>
      <c r="C597" s="9"/>
      <c r="D597" s="9"/>
      <c r="E597" s="9"/>
      <c r="F597" s="9"/>
      <c r="G597" s="19"/>
      <c r="H597" s="19"/>
    </row>
    <row r="598" spans="1:8" ht="12.75" hidden="1">
      <c r="A598" t="s">
        <v>466</v>
      </c>
      <c r="B598" t="s">
        <v>467</v>
      </c>
      <c r="C598" s="9">
        <v>15600</v>
      </c>
      <c r="D598" s="9">
        <v>14160</v>
      </c>
      <c r="E598" s="9">
        <v>14160</v>
      </c>
      <c r="F598" s="9">
        <v>14160</v>
      </c>
      <c r="G598" s="9">
        <f>F598-D598</f>
        <v>0</v>
      </c>
      <c r="H598" s="10">
        <f>G598/D598</f>
        <v>0</v>
      </c>
    </row>
    <row r="599" spans="1:8" ht="12.75" hidden="1">
      <c r="A599" t="s">
        <v>468</v>
      </c>
      <c r="B599" t="s">
        <v>135</v>
      </c>
      <c r="C599" s="9"/>
      <c r="D599" s="9"/>
      <c r="E599" s="9"/>
      <c r="F599" s="9"/>
      <c r="G599" s="9">
        <f>F599-D599</f>
        <v>0</v>
      </c>
      <c r="H599" s="10" t="e">
        <f>G599/D599</f>
        <v>#DIV/0!</v>
      </c>
    </row>
    <row r="600" spans="2:9" ht="12.75">
      <c r="B600" s="8" t="s">
        <v>15</v>
      </c>
      <c r="C600" s="11">
        <f>SUM(C598:C599)</f>
        <v>15600</v>
      </c>
      <c r="D600" s="11">
        <f>SUM(D598:D599)</f>
        <v>14160</v>
      </c>
      <c r="E600" s="11">
        <f>SUM(E598:E599)</f>
        <v>14160</v>
      </c>
      <c r="F600" s="11">
        <f>SUM(F598:F599)</f>
        <v>14160</v>
      </c>
      <c r="G600" s="11">
        <f>SUM(G598:G599)</f>
        <v>0</v>
      </c>
      <c r="H600" s="12">
        <f>G600/D600</f>
        <v>0</v>
      </c>
      <c r="I600" s="22"/>
    </row>
    <row r="601" spans="3:8" ht="12.75" hidden="1">
      <c r="C601" s="9"/>
      <c r="D601" s="9"/>
      <c r="E601" s="9"/>
      <c r="F601" s="9"/>
      <c r="G601" s="9"/>
      <c r="H601" s="10"/>
    </row>
    <row r="602" spans="1:8" ht="12.75" hidden="1">
      <c r="A602" t="s">
        <v>469</v>
      </c>
      <c r="B602" t="s">
        <v>47</v>
      </c>
      <c r="C602" s="9">
        <v>200</v>
      </c>
      <c r="D602" s="9">
        <v>200</v>
      </c>
      <c r="E602" s="9">
        <v>200</v>
      </c>
      <c r="F602" s="9">
        <v>200</v>
      </c>
      <c r="G602" s="9">
        <f>F602-D602</f>
        <v>0</v>
      </c>
      <c r="H602" s="10">
        <f>G602/D602</f>
        <v>0</v>
      </c>
    </row>
    <row r="603" spans="2:8" ht="12.75">
      <c r="B603" s="8" t="s">
        <v>48</v>
      </c>
      <c r="C603" s="11">
        <f>SUM(C602)</f>
        <v>200</v>
      </c>
      <c r="D603" s="11">
        <f>SUM(D602)</f>
        <v>200</v>
      </c>
      <c r="E603" s="11">
        <f>SUM(E602)</f>
        <v>200</v>
      </c>
      <c r="F603" s="11">
        <f>SUM(F602)</f>
        <v>200</v>
      </c>
      <c r="G603" s="11">
        <f>SUM(G602)</f>
        <v>0</v>
      </c>
      <c r="H603" s="12">
        <f>G603/D603</f>
        <v>0</v>
      </c>
    </row>
    <row r="604" spans="3:8" ht="12.75" hidden="1">
      <c r="C604" s="9"/>
      <c r="D604" s="9"/>
      <c r="E604" s="9"/>
      <c r="F604" s="9"/>
      <c r="G604" s="9"/>
      <c r="H604" s="10"/>
    </row>
    <row r="605" spans="2:8" ht="12.75" hidden="1">
      <c r="B605" t="s">
        <v>470</v>
      </c>
      <c r="C605" s="9">
        <v>1000</v>
      </c>
      <c r="D605" s="9">
        <v>1000</v>
      </c>
      <c r="E605" s="9">
        <v>1000</v>
      </c>
      <c r="F605" s="9">
        <v>0</v>
      </c>
      <c r="G605" s="9">
        <f>F605-D605</f>
        <v>-1000</v>
      </c>
      <c r="H605" s="10">
        <f>G605/D605</f>
        <v>-1</v>
      </c>
    </row>
    <row r="606" spans="1:8" ht="12.75" hidden="1">
      <c r="A606" t="s">
        <v>471</v>
      </c>
      <c r="B606" t="s">
        <v>472</v>
      </c>
      <c r="C606" s="9">
        <v>245000</v>
      </c>
      <c r="D606" s="9">
        <v>220000</v>
      </c>
      <c r="E606" s="9">
        <v>250000</v>
      </c>
      <c r="F606" s="9">
        <v>230000</v>
      </c>
      <c r="G606" s="9">
        <f>F606-D606</f>
        <v>10000</v>
      </c>
      <c r="H606" s="10">
        <f>G606/D606</f>
        <v>0.045454545454545456</v>
      </c>
    </row>
    <row r="607" spans="2:8" ht="12.75">
      <c r="B607" s="8" t="s">
        <v>22</v>
      </c>
      <c r="C607" s="11">
        <f>SUM(C605:C606)</f>
        <v>246000</v>
      </c>
      <c r="D607" s="11">
        <f>SUM(D605:D606)</f>
        <v>221000</v>
      </c>
      <c r="E607" s="11">
        <f>SUM(E605:E606)</f>
        <v>251000</v>
      </c>
      <c r="F607" s="11">
        <f>SUM(F605:F606)</f>
        <v>230000</v>
      </c>
      <c r="G607" s="11">
        <f>SUM(G605:G606)</f>
        <v>9000</v>
      </c>
      <c r="H607" s="12">
        <f>G607/D607</f>
        <v>0.04072398190045249</v>
      </c>
    </row>
    <row r="608" spans="3:8" ht="12.75" hidden="1">
      <c r="C608" s="13"/>
      <c r="D608" s="13"/>
      <c r="E608" s="13"/>
      <c r="F608" s="13"/>
      <c r="G608" s="13"/>
      <c r="H608" s="14"/>
    </row>
    <row r="609" spans="1:8" s="15" customFormat="1" ht="12.75">
      <c r="A609" s="16"/>
      <c r="B609" s="16" t="s">
        <v>473</v>
      </c>
      <c r="C609" s="17">
        <f>SUM(C607+C603+C600)</f>
        <v>261800</v>
      </c>
      <c r="D609" s="17">
        <f>SUM(D607+D603+D600)</f>
        <v>235360</v>
      </c>
      <c r="E609" s="17">
        <f>SUM(E607+E603+E600)</f>
        <v>265360</v>
      </c>
      <c r="F609" s="17">
        <f>SUM(F607+F603+F600)</f>
        <v>244360</v>
      </c>
      <c r="G609" s="17">
        <f>SUM(G607+G603+G600)</f>
        <v>9000</v>
      </c>
      <c r="H609" s="18">
        <f>G609/D609</f>
        <v>0.03823929299796057</v>
      </c>
    </row>
    <row r="610" spans="3:7" ht="12.75">
      <c r="C610" s="7"/>
      <c r="D610" s="7"/>
      <c r="E610" s="7"/>
      <c r="F610" s="7"/>
      <c r="G610" s="13"/>
    </row>
    <row r="611" spans="1:8" ht="12.75">
      <c r="A611" s="8"/>
      <c r="B611" s="8" t="s">
        <v>474</v>
      </c>
      <c r="C611" s="9"/>
      <c r="D611" s="9"/>
      <c r="E611" s="9"/>
      <c r="F611" s="9"/>
      <c r="G611" s="19"/>
      <c r="H611" s="19"/>
    </row>
    <row r="612" spans="1:11" ht="12.75" hidden="1">
      <c r="A612" t="s">
        <v>475</v>
      </c>
      <c r="B612" t="s">
        <v>476</v>
      </c>
      <c r="C612" s="36">
        <v>41626</v>
      </c>
      <c r="D612" s="36">
        <v>41626</v>
      </c>
      <c r="E612" s="36">
        <f>D612*1.05575</f>
        <v>43946.6495</v>
      </c>
      <c r="F612" s="36">
        <v>54147</v>
      </c>
      <c r="G612" s="9">
        <f aca="true" t="shared" si="41" ref="G612:G619">F612-D612</f>
        <v>12521</v>
      </c>
      <c r="H612" s="10">
        <f aca="true" t="shared" si="42" ref="H612:H619">G612/D612</f>
        <v>0.3007975784365541</v>
      </c>
      <c r="I612">
        <v>2.55</v>
      </c>
      <c r="J612">
        <v>2.55</v>
      </c>
      <c r="K612">
        <v>2.6</v>
      </c>
    </row>
    <row r="613" spans="1:8" ht="12.75" hidden="1">
      <c r="A613" t="s">
        <v>477</v>
      </c>
      <c r="B613" t="s">
        <v>478</v>
      </c>
      <c r="C613" s="36">
        <v>33563</v>
      </c>
      <c r="D613" s="36">
        <v>33563</v>
      </c>
      <c r="E613" s="36">
        <v>38251</v>
      </c>
      <c r="F613" s="36">
        <v>38251</v>
      </c>
      <c r="G613" s="9">
        <f t="shared" si="41"/>
        <v>4688</v>
      </c>
      <c r="H613" s="10">
        <f t="shared" si="42"/>
        <v>0.1396776211900009</v>
      </c>
    </row>
    <row r="614" spans="1:8" ht="12.75" hidden="1">
      <c r="A614" t="s">
        <v>479</v>
      </c>
      <c r="B614" t="s">
        <v>480</v>
      </c>
      <c r="C614" s="36">
        <v>29359</v>
      </c>
      <c r="D614" s="36">
        <v>29359</v>
      </c>
      <c r="E614" s="36">
        <v>35646</v>
      </c>
      <c r="F614" s="36">
        <v>35646</v>
      </c>
      <c r="G614" s="9">
        <f t="shared" si="41"/>
        <v>6287</v>
      </c>
      <c r="H614" s="10">
        <f t="shared" si="42"/>
        <v>0.21414217105487243</v>
      </c>
    </row>
    <row r="615" spans="1:8" ht="12.75" hidden="1">
      <c r="A615" t="s">
        <v>481</v>
      </c>
      <c r="B615" t="s">
        <v>482</v>
      </c>
      <c r="C615" s="36">
        <v>12480</v>
      </c>
      <c r="D615" s="36">
        <v>12480</v>
      </c>
      <c r="E615" s="36">
        <v>12480</v>
      </c>
      <c r="F615" s="36">
        <v>12480</v>
      </c>
      <c r="G615" s="9">
        <f t="shared" si="41"/>
        <v>0</v>
      </c>
      <c r="H615" s="10">
        <f t="shared" si="42"/>
        <v>0</v>
      </c>
    </row>
    <row r="616" spans="2:8" ht="12.75" hidden="1">
      <c r="B616" t="s">
        <v>197</v>
      </c>
      <c r="C616" s="36">
        <v>2920</v>
      </c>
      <c r="D616" s="36">
        <v>2920</v>
      </c>
      <c r="E616" s="36">
        <v>2920</v>
      </c>
      <c r="F616" s="36">
        <v>2920</v>
      </c>
      <c r="G616" s="9">
        <f t="shared" si="41"/>
        <v>0</v>
      </c>
      <c r="H616" s="10">
        <f t="shared" si="42"/>
        <v>0</v>
      </c>
    </row>
    <row r="617" spans="2:8" ht="12.75" hidden="1">
      <c r="B617" t="s">
        <v>74</v>
      </c>
      <c r="C617" s="36">
        <v>2500</v>
      </c>
      <c r="D617" s="36">
        <v>2500</v>
      </c>
      <c r="E617" s="36">
        <v>2500</v>
      </c>
      <c r="F617" s="36">
        <v>2500</v>
      </c>
      <c r="G617" s="9">
        <f t="shared" si="41"/>
        <v>0</v>
      </c>
      <c r="H617" s="10">
        <f t="shared" si="42"/>
        <v>0</v>
      </c>
    </row>
    <row r="618" spans="2:8" ht="12.75" hidden="1">
      <c r="B618" t="s">
        <v>34</v>
      </c>
      <c r="C618" s="36">
        <v>4300</v>
      </c>
      <c r="D618" s="36">
        <v>4300</v>
      </c>
      <c r="E618" s="36">
        <v>4300</v>
      </c>
      <c r="F618" s="36">
        <v>4600</v>
      </c>
      <c r="G618" s="9">
        <f t="shared" si="41"/>
        <v>300</v>
      </c>
      <c r="H618" s="10">
        <f t="shared" si="42"/>
        <v>0.06976744186046512</v>
      </c>
    </row>
    <row r="619" spans="2:8" ht="12.75" hidden="1">
      <c r="B619" t="s">
        <v>75</v>
      </c>
      <c r="C619" s="36">
        <v>1000</v>
      </c>
      <c r="D619" s="36">
        <v>1000</v>
      </c>
      <c r="E619" s="36">
        <v>1000</v>
      </c>
      <c r="F619" s="36">
        <v>1000</v>
      </c>
      <c r="G619" s="9">
        <f t="shared" si="41"/>
        <v>0</v>
      </c>
      <c r="H619" s="10">
        <f t="shared" si="42"/>
        <v>0</v>
      </c>
    </row>
    <row r="620" spans="2:8" ht="12.75">
      <c r="B620" s="8" t="s">
        <v>15</v>
      </c>
      <c r="C620" s="11">
        <f>SUM(C612:C619)</f>
        <v>127748</v>
      </c>
      <c r="D620" s="11">
        <f>SUM(D612:D619)</f>
        <v>127748</v>
      </c>
      <c r="E620" s="11">
        <f>SUM(E612:E619)</f>
        <v>141043.6495</v>
      </c>
      <c r="F620" s="11">
        <f>SUM(F612:F619)</f>
        <v>151544</v>
      </c>
      <c r="G620" s="11">
        <f>SUM(G612:G619)</f>
        <v>23796</v>
      </c>
      <c r="H620" s="12">
        <f>G620/D620</f>
        <v>0.1862729749193725</v>
      </c>
    </row>
    <row r="621" spans="3:8" ht="12.75" hidden="1">
      <c r="C621" s="9"/>
      <c r="D621" s="9"/>
      <c r="E621" s="9"/>
      <c r="F621" s="9"/>
      <c r="G621" s="9"/>
      <c r="H621" s="10"/>
    </row>
    <row r="622" spans="2:8" ht="12.75" hidden="1">
      <c r="B622" t="s">
        <v>278</v>
      </c>
      <c r="C622" s="9">
        <v>4000</v>
      </c>
      <c r="D622" s="9">
        <v>4000</v>
      </c>
      <c r="E622" s="9">
        <v>4000</v>
      </c>
      <c r="F622" s="9">
        <v>4000</v>
      </c>
      <c r="G622" s="9">
        <f aca="true" t="shared" si="43" ref="G622:G627">F622-D622</f>
        <v>0</v>
      </c>
      <c r="H622" s="10">
        <f aca="true" t="shared" si="44" ref="H622:H627">G622/D622</f>
        <v>0</v>
      </c>
    </row>
    <row r="623" spans="2:8" ht="12.75" hidden="1">
      <c r="B623" t="s">
        <v>279</v>
      </c>
      <c r="C623" s="9">
        <v>1000</v>
      </c>
      <c r="D623" s="9">
        <v>1000</v>
      </c>
      <c r="E623" s="9">
        <v>1000</v>
      </c>
      <c r="F623" s="9">
        <v>1000</v>
      </c>
      <c r="G623" s="9">
        <f t="shared" si="43"/>
        <v>0</v>
      </c>
      <c r="H623" s="10">
        <f t="shared" si="44"/>
        <v>0</v>
      </c>
    </row>
    <row r="624" spans="1:8" ht="12.75" hidden="1">
      <c r="A624" t="s">
        <v>483</v>
      </c>
      <c r="B624" t="s">
        <v>54</v>
      </c>
      <c r="C624" s="9">
        <v>4000</v>
      </c>
      <c r="D624" s="9">
        <v>4000</v>
      </c>
      <c r="E624" s="9">
        <v>4000</v>
      </c>
      <c r="F624" s="9">
        <v>4000</v>
      </c>
      <c r="G624" s="9">
        <f t="shared" si="43"/>
        <v>0</v>
      </c>
      <c r="H624" s="10">
        <f t="shared" si="44"/>
        <v>0</v>
      </c>
    </row>
    <row r="625" spans="1:8" ht="12.75" hidden="1">
      <c r="A625" t="s">
        <v>484</v>
      </c>
      <c r="B625" t="s">
        <v>231</v>
      </c>
      <c r="C625" s="9">
        <v>16000</v>
      </c>
      <c r="D625" s="9">
        <v>16000</v>
      </c>
      <c r="E625" s="9">
        <v>16000</v>
      </c>
      <c r="F625" s="9">
        <v>16000</v>
      </c>
      <c r="G625" s="9">
        <f t="shared" si="43"/>
        <v>0</v>
      </c>
      <c r="H625" s="10">
        <f t="shared" si="44"/>
        <v>0</v>
      </c>
    </row>
    <row r="626" spans="1:8" ht="12.75" hidden="1">
      <c r="A626" t="s">
        <v>485</v>
      </c>
      <c r="B626" t="s">
        <v>486</v>
      </c>
      <c r="C626" s="9">
        <v>37000</v>
      </c>
      <c r="D626" s="9">
        <v>37000</v>
      </c>
      <c r="E626" s="9">
        <v>37000</v>
      </c>
      <c r="F626" s="9">
        <v>37000</v>
      </c>
      <c r="G626" s="9">
        <f t="shared" si="43"/>
        <v>0</v>
      </c>
      <c r="H626" s="10">
        <f t="shared" si="44"/>
        <v>0</v>
      </c>
    </row>
    <row r="627" spans="2:8" ht="12.75" hidden="1">
      <c r="B627" t="s">
        <v>45</v>
      </c>
      <c r="C627" s="9">
        <v>1200</v>
      </c>
      <c r="D627" s="9">
        <v>1200</v>
      </c>
      <c r="E627" s="9">
        <v>1200</v>
      </c>
      <c r="F627" s="9">
        <v>1200</v>
      </c>
      <c r="G627" s="9">
        <f t="shared" si="43"/>
        <v>0</v>
      </c>
      <c r="H627" s="10">
        <f t="shared" si="44"/>
        <v>0</v>
      </c>
    </row>
    <row r="628" spans="2:8" ht="12.75">
      <c r="B628" s="8" t="s">
        <v>487</v>
      </c>
      <c r="C628" s="11">
        <f>SUM(C622:C627)</f>
        <v>63200</v>
      </c>
      <c r="D628" s="11">
        <f>SUM(D622:D627)</f>
        <v>63200</v>
      </c>
      <c r="E628" s="11">
        <f>SUM(E622:E627)</f>
        <v>63200</v>
      </c>
      <c r="F628" s="11">
        <f>SUM(F622:F627)</f>
        <v>63200</v>
      </c>
      <c r="G628" s="11">
        <f>SUM(G622:G627)</f>
        <v>0</v>
      </c>
      <c r="H628" s="12">
        <f>G628/D628</f>
        <v>0</v>
      </c>
    </row>
    <row r="629" spans="3:8" ht="12.75" hidden="1">
      <c r="C629" s="9"/>
      <c r="D629" s="9"/>
      <c r="E629" s="9"/>
      <c r="F629" s="9"/>
      <c r="G629" s="9"/>
      <c r="H629" s="10"/>
    </row>
    <row r="630" spans="1:8" ht="12.75" hidden="1">
      <c r="A630" t="s">
        <v>488</v>
      </c>
      <c r="B630" t="s">
        <v>47</v>
      </c>
      <c r="C630" s="9">
        <v>2500</v>
      </c>
      <c r="D630" s="9">
        <v>2500</v>
      </c>
      <c r="E630" s="9">
        <v>2500</v>
      </c>
      <c r="F630" s="9">
        <v>2500</v>
      </c>
      <c r="G630" s="9">
        <f>F630-D630</f>
        <v>0</v>
      </c>
      <c r="H630" s="10">
        <f>G630/D630</f>
        <v>0</v>
      </c>
    </row>
    <row r="631" spans="2:8" ht="12.75">
      <c r="B631" s="8" t="s">
        <v>48</v>
      </c>
      <c r="C631" s="11">
        <f>SUM(C630)</f>
        <v>2500</v>
      </c>
      <c r="D631" s="11">
        <f>SUM(D630)</f>
        <v>2500</v>
      </c>
      <c r="E631" s="11">
        <f>SUM(E630)</f>
        <v>2500</v>
      </c>
      <c r="F631" s="11">
        <f>SUM(F630)</f>
        <v>2500</v>
      </c>
      <c r="G631" s="11">
        <f>SUM(G630)</f>
        <v>0</v>
      </c>
      <c r="H631" s="12">
        <f>G631/D631</f>
        <v>0</v>
      </c>
    </row>
    <row r="632" spans="3:8" ht="12.75" hidden="1">
      <c r="C632" s="9"/>
      <c r="D632" s="9"/>
      <c r="E632" s="9"/>
      <c r="F632" s="9"/>
      <c r="G632" s="9"/>
      <c r="H632" s="10"/>
    </row>
    <row r="633" spans="2:8" ht="12.75" hidden="1">
      <c r="B633" t="s">
        <v>20</v>
      </c>
      <c r="C633" s="9">
        <v>300</v>
      </c>
      <c r="D633" s="9">
        <v>300</v>
      </c>
      <c r="E633" s="9">
        <v>300</v>
      </c>
      <c r="F633" s="9">
        <v>300</v>
      </c>
      <c r="G633" s="9">
        <f>F633-D633</f>
        <v>0</v>
      </c>
      <c r="H633" s="10">
        <f>G633/D633</f>
        <v>0</v>
      </c>
    </row>
    <row r="634" spans="1:8" ht="12.75" hidden="1">
      <c r="A634" t="s">
        <v>489</v>
      </c>
      <c r="B634" t="s">
        <v>51</v>
      </c>
      <c r="C634" s="9">
        <v>100</v>
      </c>
      <c r="D634" s="9">
        <v>100</v>
      </c>
      <c r="E634" s="9">
        <v>100</v>
      </c>
      <c r="F634" s="9">
        <v>100</v>
      </c>
      <c r="G634" s="9">
        <f>F634-D634</f>
        <v>0</v>
      </c>
      <c r="H634" s="10">
        <f>G634/D634</f>
        <v>0</v>
      </c>
    </row>
    <row r="635" spans="2:8" ht="12.75">
      <c r="B635" s="8" t="s">
        <v>22</v>
      </c>
      <c r="C635" s="11">
        <f>SUM(C633:C634)</f>
        <v>400</v>
      </c>
      <c r="D635" s="11">
        <f>SUM(D633:D634)</f>
        <v>400</v>
      </c>
      <c r="E635" s="11">
        <f>SUM(E633:E634)</f>
        <v>400</v>
      </c>
      <c r="F635" s="11">
        <f>SUM(F633:F634)</f>
        <v>400</v>
      </c>
      <c r="G635" s="11">
        <f>SUM(G633:G634)</f>
        <v>0</v>
      </c>
      <c r="H635" s="12">
        <f>G635/D635</f>
        <v>0</v>
      </c>
    </row>
    <row r="636" spans="3:8" ht="12.75" hidden="1">
      <c r="C636" s="13"/>
      <c r="D636" s="13"/>
      <c r="E636" s="13"/>
      <c r="F636" s="13"/>
      <c r="G636" s="13"/>
      <c r="H636" s="14"/>
    </row>
    <row r="637" spans="1:8" s="15" customFormat="1" ht="12.75">
      <c r="A637" s="16"/>
      <c r="B637" s="16" t="s">
        <v>490</v>
      </c>
      <c r="C637" s="17">
        <f>SUM(C635+C631+C628+C620)</f>
        <v>193848</v>
      </c>
      <c r="D637" s="17">
        <f>SUM(D635+D631+D628+D620)</f>
        <v>193848</v>
      </c>
      <c r="E637" s="17">
        <f>SUM(E635+E631+E628+E620)</f>
        <v>207143.6495</v>
      </c>
      <c r="F637" s="17">
        <f>SUM(F635+F631+F628+F620)</f>
        <v>217644</v>
      </c>
      <c r="G637" s="17">
        <f>SUM(G635+G631+G628+G620)</f>
        <v>23796</v>
      </c>
      <c r="H637" s="18">
        <f>G637/D637</f>
        <v>0.12275597375263093</v>
      </c>
    </row>
    <row r="638" spans="3:7" ht="12.75">
      <c r="C638" s="7"/>
      <c r="D638" s="7"/>
      <c r="E638" s="7"/>
      <c r="F638" s="7"/>
      <c r="G638" s="13"/>
    </row>
    <row r="639" spans="1:6" ht="12.75">
      <c r="A639" s="8"/>
      <c r="B639" s="8" t="s">
        <v>491</v>
      </c>
      <c r="C639" s="13"/>
      <c r="D639" s="13"/>
      <c r="E639" s="13"/>
      <c r="F639" s="13"/>
    </row>
    <row r="640" spans="1:6" ht="12.75" hidden="1">
      <c r="A640" t="s">
        <v>492</v>
      </c>
      <c r="C640" s="13"/>
      <c r="D640" s="13"/>
      <c r="E640" s="13"/>
      <c r="F640" s="13"/>
    </row>
    <row r="641" spans="1:8" ht="12.75" hidden="1">
      <c r="A641" t="s">
        <v>493</v>
      </c>
      <c r="B641" t="s">
        <v>494</v>
      </c>
      <c r="C641" s="9">
        <v>115300</v>
      </c>
      <c r="D641" s="9">
        <v>115300</v>
      </c>
      <c r="E641" s="9">
        <v>119483</v>
      </c>
      <c r="F641" s="9">
        <v>119483</v>
      </c>
      <c r="G641" s="9">
        <f>F641-D641</f>
        <v>4183</v>
      </c>
      <c r="H641" s="10">
        <f aca="true" t="shared" si="45" ref="H641:H646">G641/D641</f>
        <v>0.036279271465741544</v>
      </c>
    </row>
    <row r="642" spans="1:8" ht="12.75" hidden="1">
      <c r="A642" t="s">
        <v>495</v>
      </c>
      <c r="B642" t="s">
        <v>496</v>
      </c>
      <c r="C642" s="9">
        <v>49587</v>
      </c>
      <c r="D642" s="9">
        <v>49587</v>
      </c>
      <c r="E642" s="9">
        <v>42830</v>
      </c>
      <c r="F642" s="9">
        <v>42830</v>
      </c>
      <c r="G642" s="9">
        <f>F642-D642</f>
        <v>-6757</v>
      </c>
      <c r="H642" s="10">
        <f t="shared" si="45"/>
        <v>-0.13626555347167604</v>
      </c>
    </row>
    <row r="643" spans="2:8" ht="12.75" hidden="1">
      <c r="B643" t="s">
        <v>497</v>
      </c>
      <c r="C643" s="9">
        <v>798419</v>
      </c>
      <c r="D643" s="9">
        <v>798419</v>
      </c>
      <c r="E643" s="9">
        <v>754811</v>
      </c>
      <c r="F643" s="9">
        <v>754811</v>
      </c>
      <c r="G643" s="9">
        <f>F643-D643</f>
        <v>-43608</v>
      </c>
      <c r="H643" s="10">
        <f t="shared" si="45"/>
        <v>-0.05461793870135856</v>
      </c>
    </row>
    <row r="644" spans="1:8" ht="12.75" hidden="1">
      <c r="A644" t="s">
        <v>498</v>
      </c>
      <c r="B644" t="s">
        <v>499</v>
      </c>
      <c r="C644" s="9"/>
      <c r="D644" s="9"/>
      <c r="E644" s="9"/>
      <c r="F644" s="9"/>
      <c r="G644" s="9">
        <f>F644-D644</f>
        <v>0</v>
      </c>
      <c r="H644" s="10" t="e">
        <f t="shared" si="45"/>
        <v>#DIV/0!</v>
      </c>
    </row>
    <row r="645" spans="1:8" ht="12.75" hidden="1">
      <c r="A645" t="s">
        <v>500</v>
      </c>
      <c r="B645" t="s">
        <v>501</v>
      </c>
      <c r="C645" s="9">
        <v>2000</v>
      </c>
      <c r="D645" s="9">
        <v>2000</v>
      </c>
      <c r="E645" s="9">
        <v>2000</v>
      </c>
      <c r="F645" s="9">
        <v>2000</v>
      </c>
      <c r="G645" s="9">
        <f>F645-D645</f>
        <v>0</v>
      </c>
      <c r="H645" s="10">
        <f t="shared" si="45"/>
        <v>0</v>
      </c>
    </row>
    <row r="646" spans="1:8" s="15" customFormat="1" ht="12.75">
      <c r="A646" s="16"/>
      <c r="B646" s="16" t="s">
        <v>502</v>
      </c>
      <c r="C646" s="17">
        <f>SUM(C640:C645)</f>
        <v>965306</v>
      </c>
      <c r="D646" s="17">
        <f>SUM(D640:D645)</f>
        <v>965306</v>
      </c>
      <c r="E646" s="17">
        <f>SUM(E640:E645)</f>
        <v>919124</v>
      </c>
      <c r="F646" s="17">
        <f>SUM(F640:F645)</f>
        <v>919124</v>
      </c>
      <c r="G646" s="17">
        <f>SUM(G640:G645)</f>
        <v>-46182</v>
      </c>
      <c r="H646" s="18">
        <f t="shared" si="45"/>
        <v>-0.04784182425054853</v>
      </c>
    </row>
    <row r="647" spans="3:6" ht="12.75">
      <c r="C647" s="7"/>
      <c r="D647" s="7"/>
      <c r="E647" s="7"/>
      <c r="F647" s="7"/>
    </row>
    <row r="648" spans="1:6" ht="12.75">
      <c r="A648" s="8"/>
      <c r="B648" s="8" t="s">
        <v>503</v>
      </c>
      <c r="C648" s="13"/>
      <c r="D648" s="13"/>
      <c r="E648" s="13"/>
      <c r="F648" s="13"/>
    </row>
    <row r="649" spans="1:11" ht="12.75" hidden="1">
      <c r="A649" t="s">
        <v>504</v>
      </c>
      <c r="B649" t="s">
        <v>505</v>
      </c>
      <c r="C649" s="9">
        <v>935078</v>
      </c>
      <c r="D649" s="9">
        <v>935078</v>
      </c>
      <c r="E649" s="9">
        <v>1026020</v>
      </c>
      <c r="F649" s="9">
        <v>1006468</v>
      </c>
      <c r="G649" s="9">
        <f aca="true" t="shared" si="46" ref="G649:G660">F649-D649</f>
        <v>71390</v>
      </c>
      <c r="H649" s="10">
        <f aca="true" t="shared" si="47" ref="H649:H660">G649/D649</f>
        <v>0.0763465721576168</v>
      </c>
      <c r="J649" s="13" t="e">
        <f>#REF!-#REF!</f>
        <v>#REF!</v>
      </c>
      <c r="K649" s="37" t="e">
        <f>J649/#REF!</f>
        <v>#REF!</v>
      </c>
    </row>
    <row r="650" spans="1:8" ht="12.75" hidden="1">
      <c r="A650" t="s">
        <v>506</v>
      </c>
      <c r="B650" t="s">
        <v>507</v>
      </c>
      <c r="C650" s="9"/>
      <c r="D650" s="9"/>
      <c r="E650" s="9"/>
      <c r="F650" s="9"/>
      <c r="G650" s="9">
        <f t="shared" si="46"/>
        <v>0</v>
      </c>
      <c r="H650" s="10" t="e">
        <f t="shared" si="47"/>
        <v>#DIV/0!</v>
      </c>
    </row>
    <row r="651" spans="1:8" ht="12.75" hidden="1">
      <c r="A651" t="s">
        <v>508</v>
      </c>
      <c r="B651" t="s">
        <v>509</v>
      </c>
      <c r="C651" s="9">
        <v>100000</v>
      </c>
      <c r="D651" s="9">
        <v>105000</v>
      </c>
      <c r="E651" s="9">
        <v>110000</v>
      </c>
      <c r="F651" s="9">
        <v>100000</v>
      </c>
      <c r="G651" s="9">
        <f t="shared" si="46"/>
        <v>-5000</v>
      </c>
      <c r="H651" s="10">
        <f t="shared" si="47"/>
        <v>-0.047619047619047616</v>
      </c>
    </row>
    <row r="652" spans="1:8" ht="12.75" hidden="1">
      <c r="A652" t="s">
        <v>510</v>
      </c>
      <c r="B652" t="s">
        <v>511</v>
      </c>
      <c r="C652" s="9">
        <v>25000</v>
      </c>
      <c r="D652" s="9">
        <f>25000+24000-5000</f>
        <v>44000</v>
      </c>
      <c r="E652" s="9">
        <v>50000</v>
      </c>
      <c r="F652" s="9">
        <v>25000</v>
      </c>
      <c r="G652" s="9">
        <f t="shared" si="46"/>
        <v>-19000</v>
      </c>
      <c r="H652" s="10">
        <f t="shared" si="47"/>
        <v>-0.4318181818181818</v>
      </c>
    </row>
    <row r="653" spans="1:8" ht="12.75" hidden="1">
      <c r="A653" t="s">
        <v>512</v>
      </c>
      <c r="B653" t="s">
        <v>513</v>
      </c>
      <c r="C653" s="9">
        <v>25000</v>
      </c>
      <c r="D653" s="9">
        <v>25000</v>
      </c>
      <c r="E653" s="9">
        <v>30000</v>
      </c>
      <c r="F653" s="9">
        <f>30000-1000</f>
        <v>29000</v>
      </c>
      <c r="G653" s="9">
        <f t="shared" si="46"/>
        <v>4000</v>
      </c>
      <c r="H653" s="10">
        <f t="shared" si="47"/>
        <v>0.16</v>
      </c>
    </row>
    <row r="654" spans="1:8" ht="12.75" hidden="1">
      <c r="A654" t="s">
        <v>514</v>
      </c>
      <c r="B654" t="s">
        <v>515</v>
      </c>
      <c r="C654" s="9">
        <f>990776*1.07</f>
        <v>1060130.32</v>
      </c>
      <c r="D654" s="9">
        <v>975000</v>
      </c>
      <c r="E654" s="9">
        <v>1078232</v>
      </c>
      <c r="F654" s="9">
        <f>1030000-1000</f>
        <v>1029000</v>
      </c>
      <c r="G654" s="9">
        <f t="shared" si="46"/>
        <v>54000</v>
      </c>
      <c r="H654" s="10">
        <f t="shared" si="47"/>
        <v>0.055384615384615386</v>
      </c>
    </row>
    <row r="655" spans="1:8" ht="12.75" hidden="1">
      <c r="A655" t="s">
        <v>516</v>
      </c>
      <c r="B655" t="s">
        <v>517</v>
      </c>
      <c r="C655" s="9"/>
      <c r="D655" s="9"/>
      <c r="E655" s="9">
        <v>25000</v>
      </c>
      <c r="F655" s="9"/>
      <c r="G655" s="9">
        <f t="shared" si="46"/>
        <v>0</v>
      </c>
      <c r="H655" s="10" t="e">
        <f t="shared" si="47"/>
        <v>#DIV/0!</v>
      </c>
    </row>
    <row r="656" spans="1:8" ht="12.75" hidden="1">
      <c r="A656" t="s">
        <v>518</v>
      </c>
      <c r="B656" t="s">
        <v>519</v>
      </c>
      <c r="C656" s="9">
        <v>200000</v>
      </c>
      <c r="D656" s="9">
        <v>190000</v>
      </c>
      <c r="E656" s="9">
        <v>200000</v>
      </c>
      <c r="F656" s="9">
        <f>200000-2000</f>
        <v>198000</v>
      </c>
      <c r="G656" s="9">
        <f t="shared" si="46"/>
        <v>8000</v>
      </c>
      <c r="H656" s="10">
        <f t="shared" si="47"/>
        <v>0.042105263157894736</v>
      </c>
    </row>
    <row r="657" spans="1:8" ht="12.75" hidden="1">
      <c r="A657" t="s">
        <v>520</v>
      </c>
      <c r="B657" t="s">
        <v>521</v>
      </c>
      <c r="C657" s="9">
        <v>36000</v>
      </c>
      <c r="D657" s="9">
        <v>36000</v>
      </c>
      <c r="E657" s="9"/>
      <c r="F657" s="9">
        <v>0</v>
      </c>
      <c r="G657" s="9">
        <f t="shared" si="46"/>
        <v>-36000</v>
      </c>
      <c r="H657" s="10">
        <f t="shared" si="47"/>
        <v>-1</v>
      </c>
    </row>
    <row r="658" spans="1:8" ht="12.75" hidden="1">
      <c r="A658" t="s">
        <v>522</v>
      </c>
      <c r="B658" t="s">
        <v>523</v>
      </c>
      <c r="C658" s="9"/>
      <c r="D658" s="9"/>
      <c r="E658" s="9"/>
      <c r="F658" s="9"/>
      <c r="G658" s="9">
        <f t="shared" si="46"/>
        <v>0</v>
      </c>
      <c r="H658" s="10" t="e">
        <f t="shared" si="47"/>
        <v>#DIV/0!</v>
      </c>
    </row>
    <row r="659" spans="2:8" ht="12.75" hidden="1">
      <c r="B659" t="s">
        <v>524</v>
      </c>
      <c r="C659" s="9"/>
      <c r="D659" s="9"/>
      <c r="E659" s="9"/>
      <c r="F659" s="9"/>
      <c r="G659" s="9">
        <f t="shared" si="46"/>
        <v>0</v>
      </c>
      <c r="H659" s="10" t="e">
        <f t="shared" si="47"/>
        <v>#DIV/0!</v>
      </c>
    </row>
    <row r="660" spans="2:8" ht="12.75" hidden="1">
      <c r="B660" t="s">
        <v>525</v>
      </c>
      <c r="C660" s="9"/>
      <c r="D660" s="9"/>
      <c r="E660" s="9"/>
      <c r="F660" s="9"/>
      <c r="G660" s="9">
        <f t="shared" si="46"/>
        <v>0</v>
      </c>
      <c r="H660" s="10" t="e">
        <f t="shared" si="47"/>
        <v>#DIV/0!</v>
      </c>
    </row>
    <row r="661" spans="1:8" s="15" customFormat="1" ht="12.75">
      <c r="A661" s="16"/>
      <c r="B661" s="16" t="s">
        <v>526</v>
      </c>
      <c r="C661" s="17">
        <f>SUM(C649:C660)</f>
        <v>2381208.3200000003</v>
      </c>
      <c r="D661" s="17">
        <f>SUM(D649:D660)</f>
        <v>2310078</v>
      </c>
      <c r="E661" s="17">
        <f>SUM(E649:E660)</f>
        <v>2519252</v>
      </c>
      <c r="F661" s="17">
        <f>SUM(F649:F660)</f>
        <v>2387468</v>
      </c>
      <c r="G661" s="17">
        <f>SUM(G649:G660)</f>
        <v>77390</v>
      </c>
      <c r="H661" s="18">
        <f>G661/D661</f>
        <v>0.033501033298442735</v>
      </c>
    </row>
    <row r="662" spans="3:7" ht="12.75">
      <c r="C662" s="7"/>
      <c r="D662" s="7"/>
      <c r="E662" s="7"/>
      <c r="F662" s="7"/>
      <c r="G662" s="13"/>
    </row>
    <row r="663" spans="1:8" s="15" customFormat="1" ht="12.75">
      <c r="A663" s="16"/>
      <c r="B663" s="16" t="s">
        <v>527</v>
      </c>
      <c r="C663" s="17">
        <f>+C19+C46+C65+C87+C116+C141+C166+C193+C209+C225+C286+C330+C351+C381+C401+C422+C439+C444+C448+C452+C504+C516+C535+C559+C595+C609+C637+C646+C661</f>
        <v>20800388.125</v>
      </c>
      <c r="D663" s="17">
        <f>+D19+D46+D65+D87+D116+D141+D166+D193+D209+D225+D286+D330+D351+D381+D401+D422+D439+D444+D448+D452+D504+D516+D535+D559+D595+D609+D637+D646+D661</f>
        <v>20127442.655</v>
      </c>
      <c r="E663" s="17">
        <f>+E19+E46+E65+E87+E116+E141+E166+E193+E209+E225+E286+E330+E351+E381+E401+E422+E439+E444+E448+E452+E504+E516+E535+E559+E595+E609+E637+E646+E661</f>
        <v>21294833.863</v>
      </c>
      <c r="F663" s="17">
        <f>+F19+F46+F65+F87+F116+F141+F166+F193+F209+F225+F286+F330+F351+F381+F401+F422+F439+F444+F448+F452+F504+F516+F535+F559+F595+F609+F637+F646+F661</f>
        <v>20898109.16675</v>
      </c>
      <c r="G663" s="17">
        <f>+G19+G46+G65+G87+G116+G141+G166+G193+G209+G225+G286+G330+G351+G381+G401+G422+G439+G444+G448+G452+G504+G516+G535+G559+G595+G609+G637+G646+G661</f>
        <v>767916.51175</v>
      </c>
      <c r="H663" s="18">
        <f>G663/D663</f>
        <v>0.038152711445397475</v>
      </c>
    </row>
    <row r="664" spans="3:7" ht="12.75">
      <c r="C664" s="7"/>
      <c r="D664" s="7"/>
      <c r="E664" s="7"/>
      <c r="F664" s="7"/>
      <c r="G664" s="13"/>
    </row>
    <row r="665" spans="2:7" ht="12.75">
      <c r="B665" s="8" t="s">
        <v>528</v>
      </c>
      <c r="C665" s="38"/>
      <c r="D665" s="38"/>
      <c r="E665" s="38"/>
      <c r="F665" s="38"/>
      <c r="G665" s="13"/>
    </row>
    <row r="666" spans="3:6" ht="12.75" hidden="1">
      <c r="C666" s="7"/>
      <c r="D666" s="7"/>
      <c r="E666" s="7"/>
      <c r="F666" s="7"/>
    </row>
    <row r="667" spans="2:11" ht="12.75" hidden="1">
      <c r="B667" t="s">
        <v>529</v>
      </c>
      <c r="C667" s="9">
        <v>184920</v>
      </c>
      <c r="D667" s="9">
        <v>184180</v>
      </c>
      <c r="E667" s="9">
        <v>127484</v>
      </c>
      <c r="F667" s="9">
        <v>127484</v>
      </c>
      <c r="G667" s="9">
        <f>F667-D667</f>
        <v>-56696</v>
      </c>
      <c r="H667" s="10">
        <f>G667/D667</f>
        <v>-0.30782929742643067</v>
      </c>
      <c r="K667" s="13"/>
    </row>
    <row r="668" spans="2:11" ht="12.75" hidden="1">
      <c r="B668" t="s">
        <v>530</v>
      </c>
      <c r="C668" s="9">
        <v>125000</v>
      </c>
      <c r="D668" s="9">
        <v>120000</v>
      </c>
      <c r="E668" s="9">
        <v>125000</v>
      </c>
      <c r="F668" s="9">
        <v>125000</v>
      </c>
      <c r="G668" s="9">
        <f>F668-D668</f>
        <v>5000</v>
      </c>
      <c r="H668" s="10">
        <f>G668/D668</f>
        <v>0.041666666666666664</v>
      </c>
      <c r="K668" s="13"/>
    </row>
    <row r="669" spans="2:11" ht="12.75" hidden="1">
      <c r="B669" t="s">
        <v>531</v>
      </c>
      <c r="C669" s="9">
        <v>6270</v>
      </c>
      <c r="D669" s="9">
        <v>6269</v>
      </c>
      <c r="E669" s="9">
        <v>6344</v>
      </c>
      <c r="F669" s="9">
        <v>6344</v>
      </c>
      <c r="G669" s="9">
        <f>F669-D669</f>
        <v>75</v>
      </c>
      <c r="H669" s="10">
        <f>G669/D669</f>
        <v>0.011963630563088213</v>
      </c>
      <c r="K669" s="13"/>
    </row>
    <row r="670" spans="2:8" ht="12.75" hidden="1">
      <c r="B670" t="s">
        <v>532</v>
      </c>
      <c r="C670" s="9"/>
      <c r="D670" s="9"/>
      <c r="E670" s="9"/>
      <c r="F670" s="9"/>
      <c r="G670" s="9">
        <f>F670-D670</f>
        <v>0</v>
      </c>
      <c r="H670" s="10" t="e">
        <f>G670/D670</f>
        <v>#DIV/0!</v>
      </c>
    </row>
    <row r="671" spans="2:8" ht="12.75">
      <c r="B671" s="8" t="s">
        <v>533</v>
      </c>
      <c r="C671" s="17">
        <f>SUM(C667:C670)</f>
        <v>316190</v>
      </c>
      <c r="D671" s="17">
        <f>SUM(D667:D670)</f>
        <v>310449</v>
      </c>
      <c r="E671" s="17">
        <f>SUM(E667:E670)</f>
        <v>258828</v>
      </c>
      <c r="F671" s="17">
        <f>SUM(F667:F670)</f>
        <v>258828</v>
      </c>
      <c r="G671" s="17">
        <f>SUM(G667:G670)</f>
        <v>-51621</v>
      </c>
      <c r="H671" s="18">
        <f>G671/D671</f>
        <v>-0.1662785191770629</v>
      </c>
    </row>
    <row r="672" spans="3:6" ht="12.75">
      <c r="C672" s="7"/>
      <c r="D672" s="7"/>
      <c r="E672" s="7"/>
      <c r="F672" s="7"/>
    </row>
    <row r="673" spans="2:8" ht="12.75">
      <c r="B673" s="8" t="s">
        <v>534</v>
      </c>
      <c r="C673" s="39">
        <f>C671+C663</f>
        <v>21116578.125</v>
      </c>
      <c r="D673" s="39">
        <f>D671+D663</f>
        <v>20437891.655</v>
      </c>
      <c r="E673" s="39">
        <f>E671+E663</f>
        <v>21553661.863</v>
      </c>
      <c r="F673" s="39">
        <f>F671+F663</f>
        <v>21156937.16675</v>
      </c>
      <c r="G673" s="39">
        <f>G671+G663</f>
        <v>716295.51175</v>
      </c>
      <c r="H673" s="34">
        <f>G673/D673</f>
        <v>0.03504742680122599</v>
      </c>
    </row>
    <row r="674" spans="3:8" ht="12.75">
      <c r="C674" s="7"/>
      <c r="D674" s="7"/>
      <c r="E674" s="7"/>
      <c r="F674" s="7"/>
      <c r="G674" s="13"/>
      <c r="H674" s="7"/>
    </row>
    <row r="675" spans="2:8" ht="12.75">
      <c r="B675" s="8" t="s">
        <v>535</v>
      </c>
      <c r="C675" s="13"/>
      <c r="D675" s="13"/>
      <c r="E675" s="13"/>
      <c r="F675" s="13"/>
      <c r="G675" s="7"/>
      <c r="H675" s="7"/>
    </row>
    <row r="676" spans="3:7" ht="12.75">
      <c r="C676" s="1" t="s">
        <v>0</v>
      </c>
      <c r="D676" s="1" t="s">
        <v>1</v>
      </c>
      <c r="E676" s="1" t="s">
        <v>0</v>
      </c>
      <c r="F676" s="1" t="s">
        <v>1</v>
      </c>
      <c r="G676" s="2"/>
    </row>
    <row r="677" spans="3:8" ht="12.75">
      <c r="C677" s="1" t="s">
        <v>2</v>
      </c>
      <c r="D677" s="1" t="s">
        <v>2</v>
      </c>
      <c r="E677" s="1" t="s">
        <v>2</v>
      </c>
      <c r="F677" s="1" t="s">
        <v>2</v>
      </c>
      <c r="G677" s="1" t="s">
        <v>3</v>
      </c>
      <c r="H677" s="1" t="s">
        <v>4</v>
      </c>
    </row>
    <row r="678" spans="1:8" ht="12.75">
      <c r="A678" s="2"/>
      <c r="B678" s="1" t="s">
        <v>5</v>
      </c>
      <c r="C678" s="3">
        <v>2014</v>
      </c>
      <c r="D678" s="3">
        <v>2014</v>
      </c>
      <c r="E678" s="3">
        <v>2015</v>
      </c>
      <c r="F678" s="3">
        <v>2015</v>
      </c>
      <c r="G678" s="2" t="s">
        <v>6</v>
      </c>
      <c r="H678" s="2" t="s">
        <v>6</v>
      </c>
    </row>
    <row r="679" spans="1:8" ht="12.75">
      <c r="A679" s="4" t="s">
        <v>7</v>
      </c>
      <c r="B679" s="5" t="s">
        <v>8</v>
      </c>
      <c r="C679" s="5" t="s">
        <v>9</v>
      </c>
      <c r="D679" s="5" t="s">
        <v>9</v>
      </c>
      <c r="E679" s="5" t="s">
        <v>9</v>
      </c>
      <c r="F679" s="5" t="s">
        <v>9</v>
      </c>
      <c r="G679" s="4" t="s">
        <v>10</v>
      </c>
      <c r="H679" s="4" t="s">
        <v>10</v>
      </c>
    </row>
    <row r="680" spans="2:8" ht="12.75">
      <c r="B680" s="8" t="s">
        <v>536</v>
      </c>
      <c r="C680" s="40"/>
      <c r="D680" s="40"/>
      <c r="E680" s="40"/>
      <c r="F680" s="40"/>
      <c r="G680" s="40"/>
      <c r="H680" s="40"/>
    </row>
    <row r="681" spans="1:8" ht="12.75" hidden="1">
      <c r="A681" t="s">
        <v>537</v>
      </c>
      <c r="B681" t="s">
        <v>538</v>
      </c>
      <c r="C681" s="13"/>
      <c r="D681" s="13"/>
      <c r="E681" s="13"/>
      <c r="F681" s="13"/>
      <c r="G681" s="13"/>
      <c r="H681" s="13"/>
    </row>
    <row r="682" spans="1:8" ht="12.75" hidden="1">
      <c r="A682" t="s">
        <v>539</v>
      </c>
      <c r="B682" t="s">
        <v>540</v>
      </c>
      <c r="C682" s="13"/>
      <c r="D682" s="13"/>
      <c r="E682" s="13"/>
      <c r="F682" s="13"/>
      <c r="G682" s="13"/>
      <c r="H682" s="13"/>
    </row>
    <row r="683" spans="1:8" ht="12.75">
      <c r="A683" t="s">
        <v>541</v>
      </c>
      <c r="B683" t="s">
        <v>542</v>
      </c>
      <c r="C683" s="9">
        <v>229190</v>
      </c>
      <c r="D683" s="9">
        <v>229190</v>
      </c>
      <c r="E683" s="9">
        <v>241967</v>
      </c>
      <c r="F683" s="9">
        <v>241967</v>
      </c>
      <c r="G683" s="9">
        <f aca="true" t="shared" si="48" ref="G683:G692">F683-D683</f>
        <v>12777</v>
      </c>
      <c r="H683" s="10">
        <f aca="true" t="shared" si="49" ref="H683:H692">G683/D683</f>
        <v>0.055748505606701866</v>
      </c>
    </row>
    <row r="684" spans="1:8" ht="12.75">
      <c r="A684" t="s">
        <v>543</v>
      </c>
      <c r="B684" t="s">
        <v>544</v>
      </c>
      <c r="C684" s="9"/>
      <c r="D684" s="9"/>
      <c r="E684" s="9">
        <v>8000</v>
      </c>
      <c r="F684" s="9">
        <v>8000</v>
      </c>
      <c r="G684" s="9">
        <f t="shared" si="48"/>
        <v>8000</v>
      </c>
      <c r="H684" s="10" t="e">
        <f t="shared" si="49"/>
        <v>#DIV/0!</v>
      </c>
    </row>
    <row r="685" spans="1:8" ht="12.75">
      <c r="A685" t="s">
        <v>545</v>
      </c>
      <c r="B685" t="s">
        <v>546</v>
      </c>
      <c r="C685" s="9">
        <v>4000</v>
      </c>
      <c r="D685" s="9">
        <v>4000</v>
      </c>
      <c r="E685" s="9">
        <v>4000</v>
      </c>
      <c r="F685" s="9">
        <v>4000</v>
      </c>
      <c r="G685" s="9">
        <f t="shared" si="48"/>
        <v>0</v>
      </c>
      <c r="H685" s="10">
        <f t="shared" si="49"/>
        <v>0</v>
      </c>
    </row>
    <row r="686" spans="1:8" ht="12.75">
      <c r="A686" t="s">
        <v>547</v>
      </c>
      <c r="B686" t="s">
        <v>548</v>
      </c>
      <c r="C686" s="9"/>
      <c r="D686" s="9"/>
      <c r="E686" s="9"/>
      <c r="F686" s="9"/>
      <c r="G686" s="9">
        <f t="shared" si="48"/>
        <v>0</v>
      </c>
      <c r="H686" s="10" t="e">
        <f t="shared" si="49"/>
        <v>#DIV/0!</v>
      </c>
    </row>
    <row r="687" spans="1:8" ht="12.75">
      <c r="A687" t="s">
        <v>549</v>
      </c>
      <c r="B687" t="s">
        <v>509</v>
      </c>
      <c r="C687" s="9"/>
      <c r="D687" s="9"/>
      <c r="E687" s="9"/>
      <c r="F687" s="9"/>
      <c r="G687" s="9">
        <f t="shared" si="48"/>
        <v>0</v>
      </c>
      <c r="H687" s="10" t="e">
        <f t="shared" si="49"/>
        <v>#DIV/0!</v>
      </c>
    </row>
    <row r="688" spans="1:8" ht="12.75">
      <c r="A688" t="s">
        <v>550</v>
      </c>
      <c r="B688" t="s">
        <v>551</v>
      </c>
      <c r="C688" s="9">
        <v>45000</v>
      </c>
      <c r="D688" s="9">
        <v>45000</v>
      </c>
      <c r="E688" s="9">
        <v>47509</v>
      </c>
      <c r="F688" s="9">
        <v>47509</v>
      </c>
      <c r="G688" s="9">
        <f t="shared" si="48"/>
        <v>2509</v>
      </c>
      <c r="H688" s="10">
        <f t="shared" si="49"/>
        <v>0.05575555555555556</v>
      </c>
    </row>
    <row r="689" spans="1:8" ht="12.75">
      <c r="A689" t="s">
        <v>552</v>
      </c>
      <c r="B689" t="s">
        <v>381</v>
      </c>
      <c r="C689" s="9">
        <v>14300</v>
      </c>
      <c r="D689" s="9">
        <v>14300</v>
      </c>
      <c r="E689" s="9">
        <v>16700</v>
      </c>
      <c r="F689" s="9">
        <v>16700</v>
      </c>
      <c r="G689" s="9">
        <f t="shared" si="48"/>
        <v>2400</v>
      </c>
      <c r="H689" s="10">
        <f t="shared" si="49"/>
        <v>0.16783216783216784</v>
      </c>
    </row>
    <row r="690" spans="2:8" ht="12.75">
      <c r="B690" t="s">
        <v>34</v>
      </c>
      <c r="C690" s="9">
        <v>7900</v>
      </c>
      <c r="D690" s="9">
        <v>7900</v>
      </c>
      <c r="E690" s="9">
        <v>9000</v>
      </c>
      <c r="F690" s="9">
        <v>9000</v>
      </c>
      <c r="G690" s="9">
        <f t="shared" si="48"/>
        <v>1100</v>
      </c>
      <c r="H690" s="10">
        <f t="shared" si="49"/>
        <v>0.13924050632911392</v>
      </c>
    </row>
    <row r="691" spans="2:8" ht="12.75">
      <c r="B691" t="s">
        <v>382</v>
      </c>
      <c r="C691" s="9">
        <v>4800</v>
      </c>
      <c r="D691" s="9">
        <v>4800</v>
      </c>
      <c r="E691" s="9">
        <v>4800</v>
      </c>
      <c r="F691" s="9">
        <v>4800</v>
      </c>
      <c r="G691" s="9">
        <f t="shared" si="48"/>
        <v>0</v>
      </c>
      <c r="H691" s="10">
        <f t="shared" si="49"/>
        <v>0</v>
      </c>
    </row>
    <row r="692" spans="1:8" ht="12.75">
      <c r="A692" t="s">
        <v>553</v>
      </c>
      <c r="B692" t="s">
        <v>554</v>
      </c>
      <c r="C692" s="9"/>
      <c r="D692" s="9"/>
      <c r="E692" s="9"/>
      <c r="F692" s="9"/>
      <c r="G692" s="9">
        <f t="shared" si="48"/>
        <v>0</v>
      </c>
      <c r="H692" s="10" t="e">
        <f t="shared" si="49"/>
        <v>#DIV/0!</v>
      </c>
    </row>
    <row r="693" spans="2:8" ht="12.75">
      <c r="B693" s="8" t="s">
        <v>15</v>
      </c>
      <c r="C693" s="41">
        <f>SUM(C681:C692)</f>
        <v>305190</v>
      </c>
      <c r="D693" s="41">
        <f>SUM(D681:D692)</f>
        <v>305190</v>
      </c>
      <c r="E693" s="41">
        <f>SUM(E681:E692)</f>
        <v>331976</v>
      </c>
      <c r="F693" s="41">
        <f>SUM(F681:F692)</f>
        <v>331976</v>
      </c>
      <c r="G693" s="41">
        <f>SUM(G681:G692)</f>
        <v>26786</v>
      </c>
      <c r="H693" s="42">
        <f>G693/D693</f>
        <v>0.08776827550050788</v>
      </c>
    </row>
    <row r="694" spans="3:8" ht="12.75">
      <c r="C694" s="13"/>
      <c r="D694" s="13"/>
      <c r="E694" s="13"/>
      <c r="F694" s="13"/>
      <c r="G694" s="13"/>
      <c r="H694" s="13"/>
    </row>
    <row r="695" spans="1:8" ht="12.75">
      <c r="A695" t="s">
        <v>555</v>
      </c>
      <c r="B695" t="s">
        <v>556</v>
      </c>
      <c r="C695" s="9">
        <v>5000</v>
      </c>
      <c r="D695" s="9">
        <v>5000</v>
      </c>
      <c r="E695" s="9">
        <v>5200</v>
      </c>
      <c r="F695" s="9">
        <v>5200</v>
      </c>
      <c r="G695" s="9">
        <f aca="true" t="shared" si="50" ref="G695:G712">F695-D695</f>
        <v>200</v>
      </c>
      <c r="H695" s="10">
        <f aca="true" t="shared" si="51" ref="H695:H712">G695/D695</f>
        <v>0.04</v>
      </c>
    </row>
    <row r="696" spans="1:8" ht="12.75">
      <c r="A696" t="s">
        <v>557</v>
      </c>
      <c r="B696" t="s">
        <v>558</v>
      </c>
      <c r="C696" s="9">
        <v>10000</v>
      </c>
      <c r="D696" s="9">
        <v>10000</v>
      </c>
      <c r="E696" s="9">
        <v>10000</v>
      </c>
      <c r="F696" s="9">
        <v>7500</v>
      </c>
      <c r="G696" s="9">
        <f t="shared" si="50"/>
        <v>-2500</v>
      </c>
      <c r="H696" s="10">
        <f t="shared" si="51"/>
        <v>-0.25</v>
      </c>
    </row>
    <row r="697" spans="2:8" ht="12.75" hidden="1">
      <c r="B697" t="s">
        <v>559</v>
      </c>
      <c r="C697" s="9"/>
      <c r="D697" s="9"/>
      <c r="E697" s="9"/>
      <c r="F697" s="9"/>
      <c r="G697" s="9">
        <f t="shared" si="50"/>
        <v>0</v>
      </c>
      <c r="H697" s="10" t="e">
        <f t="shared" si="51"/>
        <v>#DIV/0!</v>
      </c>
    </row>
    <row r="698" spans="1:8" ht="12.75">
      <c r="A698" t="s">
        <v>560</v>
      </c>
      <c r="B698" t="s">
        <v>278</v>
      </c>
      <c r="C698" s="9">
        <v>196500</v>
      </c>
      <c r="D698" s="9">
        <v>196500</v>
      </c>
      <c r="E698" s="9">
        <v>200000</v>
      </c>
      <c r="F698" s="9">
        <v>175000</v>
      </c>
      <c r="G698" s="9">
        <f t="shared" si="50"/>
        <v>-21500</v>
      </c>
      <c r="H698" s="10">
        <f t="shared" si="51"/>
        <v>-0.10941475826972011</v>
      </c>
    </row>
    <row r="699" spans="1:8" ht="12.75">
      <c r="A699" t="s">
        <v>561</v>
      </c>
      <c r="B699" t="s">
        <v>279</v>
      </c>
      <c r="C699" s="9">
        <v>5000</v>
      </c>
      <c r="D699" s="9">
        <v>5000</v>
      </c>
      <c r="E699" s="9">
        <v>5000</v>
      </c>
      <c r="F699" s="9">
        <v>5000</v>
      </c>
      <c r="G699" s="9">
        <f t="shared" si="50"/>
        <v>0</v>
      </c>
      <c r="H699" s="10">
        <f t="shared" si="51"/>
        <v>0</v>
      </c>
    </row>
    <row r="700" spans="1:8" ht="12.75" hidden="1">
      <c r="A700" t="s">
        <v>562</v>
      </c>
      <c r="C700" s="9"/>
      <c r="D700" s="9"/>
      <c r="E700" s="9"/>
      <c r="F700" s="9"/>
      <c r="G700" s="9">
        <f t="shared" si="50"/>
        <v>0</v>
      </c>
      <c r="H700" s="10" t="e">
        <f t="shared" si="51"/>
        <v>#DIV/0!</v>
      </c>
    </row>
    <row r="701" spans="1:8" ht="12.75">
      <c r="A701" t="s">
        <v>563</v>
      </c>
      <c r="B701" t="s">
        <v>45</v>
      </c>
      <c r="C701" s="9">
        <v>10500</v>
      </c>
      <c r="D701" s="9">
        <v>10500</v>
      </c>
      <c r="E701" s="9">
        <v>10500</v>
      </c>
      <c r="F701" s="9">
        <v>9000</v>
      </c>
      <c r="G701" s="9">
        <f t="shared" si="50"/>
        <v>-1500</v>
      </c>
      <c r="H701" s="10">
        <f t="shared" si="51"/>
        <v>-0.14285714285714285</v>
      </c>
    </row>
    <row r="702" spans="1:8" ht="12.75">
      <c r="A702" t="s">
        <v>564</v>
      </c>
      <c r="B702" s="20" t="s">
        <v>282</v>
      </c>
      <c r="C702" s="9">
        <v>25000</v>
      </c>
      <c r="D702" s="9">
        <v>25000</v>
      </c>
      <c r="E702" s="9">
        <v>25000</v>
      </c>
      <c r="F702" s="9">
        <v>25000</v>
      </c>
      <c r="G702" s="9">
        <f t="shared" si="50"/>
        <v>0</v>
      </c>
      <c r="H702" s="10">
        <f t="shared" si="51"/>
        <v>0</v>
      </c>
    </row>
    <row r="703" spans="1:8" ht="12.75">
      <c r="A703" t="s">
        <v>565</v>
      </c>
      <c r="B703" s="20" t="s">
        <v>566</v>
      </c>
      <c r="C703" s="9">
        <v>1000</v>
      </c>
      <c r="D703" s="9">
        <v>1000</v>
      </c>
      <c r="E703" s="9">
        <v>1500</v>
      </c>
      <c r="F703" s="9">
        <v>1500</v>
      </c>
      <c r="G703" s="9">
        <f t="shared" si="50"/>
        <v>500</v>
      </c>
      <c r="H703" s="10">
        <f t="shared" si="51"/>
        <v>0.5</v>
      </c>
    </row>
    <row r="704" spans="1:8" ht="12.75">
      <c r="A704" t="s">
        <v>567</v>
      </c>
      <c r="B704" t="s">
        <v>413</v>
      </c>
      <c r="C704" s="9">
        <v>50000</v>
      </c>
      <c r="D704" s="9">
        <v>50000</v>
      </c>
      <c r="E704" s="9">
        <v>65000</v>
      </c>
      <c r="F704" s="9">
        <v>60000</v>
      </c>
      <c r="G704" s="9">
        <f t="shared" si="50"/>
        <v>10000</v>
      </c>
      <c r="H704" s="10">
        <f t="shared" si="51"/>
        <v>0.2</v>
      </c>
    </row>
    <row r="705" spans="1:8" ht="12.75">
      <c r="A705" t="s">
        <v>568</v>
      </c>
      <c r="B705" t="s">
        <v>569</v>
      </c>
      <c r="C705" s="9">
        <v>6500</v>
      </c>
      <c r="D705" s="9">
        <v>6500</v>
      </c>
      <c r="E705" s="9">
        <v>20000</v>
      </c>
      <c r="F705" s="9">
        <v>20000</v>
      </c>
      <c r="G705" s="9">
        <f t="shared" si="50"/>
        <v>13500</v>
      </c>
      <c r="H705" s="10">
        <f t="shared" si="51"/>
        <v>2.076923076923077</v>
      </c>
    </row>
    <row r="706" spans="1:8" ht="12.75">
      <c r="A706" t="s">
        <v>570</v>
      </c>
      <c r="B706" t="s">
        <v>571</v>
      </c>
      <c r="C706" s="9">
        <v>6000</v>
      </c>
      <c r="D706" s="9">
        <v>6000</v>
      </c>
      <c r="E706" s="9">
        <v>6300</v>
      </c>
      <c r="F706" s="9">
        <v>6300</v>
      </c>
      <c r="G706" s="9">
        <f t="shared" si="50"/>
        <v>300</v>
      </c>
      <c r="H706" s="10">
        <f t="shared" si="51"/>
        <v>0.05</v>
      </c>
    </row>
    <row r="707" spans="2:8" ht="12.75">
      <c r="B707" t="s">
        <v>572</v>
      </c>
      <c r="C707" s="29"/>
      <c r="D707" s="29"/>
      <c r="E707" s="29"/>
      <c r="F707" s="29"/>
      <c r="G707" s="9">
        <f t="shared" si="50"/>
        <v>0</v>
      </c>
      <c r="H707" s="10" t="e">
        <f t="shared" si="51"/>
        <v>#DIV/0!</v>
      </c>
    </row>
    <row r="708" spans="2:8" ht="12.75">
      <c r="B708" s="20" t="s">
        <v>573</v>
      </c>
      <c r="C708" s="29"/>
      <c r="D708" s="29"/>
      <c r="E708" s="29">
        <v>15000</v>
      </c>
      <c r="F708" s="29">
        <v>15000</v>
      </c>
      <c r="G708" s="9">
        <f t="shared" si="50"/>
        <v>15000</v>
      </c>
      <c r="H708" s="10" t="e">
        <f t="shared" si="51"/>
        <v>#DIV/0!</v>
      </c>
    </row>
    <row r="709" spans="2:8" ht="12.75">
      <c r="B709" t="s">
        <v>574</v>
      </c>
      <c r="C709" s="9">
        <v>0</v>
      </c>
      <c r="D709" s="9">
        <v>0</v>
      </c>
      <c r="E709" s="9"/>
      <c r="F709" s="9"/>
      <c r="G709" s="9">
        <f t="shared" si="50"/>
        <v>0</v>
      </c>
      <c r="H709" s="10" t="e">
        <f t="shared" si="51"/>
        <v>#DIV/0!</v>
      </c>
    </row>
    <row r="710" spans="2:8" ht="12.75">
      <c r="B710" t="s">
        <v>575</v>
      </c>
      <c r="C710" s="9">
        <v>15000</v>
      </c>
      <c r="D710" s="9">
        <v>15000</v>
      </c>
      <c r="E710" s="9">
        <v>15000</v>
      </c>
      <c r="F710" s="9">
        <v>15000</v>
      </c>
      <c r="G710" s="9">
        <f t="shared" si="50"/>
        <v>0</v>
      </c>
      <c r="H710" s="10">
        <f t="shared" si="51"/>
        <v>0</v>
      </c>
    </row>
    <row r="711" spans="2:8" ht="12.75">
      <c r="B711" t="s">
        <v>576</v>
      </c>
      <c r="C711" s="9"/>
      <c r="D711" s="9"/>
      <c r="E711" s="9">
        <v>20000</v>
      </c>
      <c r="F711" s="9">
        <v>20000</v>
      </c>
      <c r="G711" s="9">
        <f t="shared" si="50"/>
        <v>20000</v>
      </c>
      <c r="H711" s="10" t="e">
        <f t="shared" si="51"/>
        <v>#DIV/0!</v>
      </c>
    </row>
    <row r="712" spans="1:8" ht="12.75">
      <c r="A712" t="s">
        <v>577</v>
      </c>
      <c r="B712" t="s">
        <v>578</v>
      </c>
      <c r="C712" s="9">
        <v>30000</v>
      </c>
      <c r="D712" s="9">
        <v>30000</v>
      </c>
      <c r="E712" s="9">
        <v>33000</v>
      </c>
      <c r="F712" s="9">
        <v>30000</v>
      </c>
      <c r="G712" s="9">
        <f t="shared" si="50"/>
        <v>0</v>
      </c>
      <c r="H712" s="10">
        <f t="shared" si="51"/>
        <v>0</v>
      </c>
    </row>
    <row r="713" spans="2:8" ht="12.75">
      <c r="B713" s="8" t="s">
        <v>487</v>
      </c>
      <c r="C713" s="41">
        <f>SUM(C695:C712)</f>
        <v>360500</v>
      </c>
      <c r="D713" s="41">
        <f>SUM(D695:D712)</f>
        <v>360500</v>
      </c>
      <c r="E713" s="41">
        <f>SUM(E695:E712)</f>
        <v>431500</v>
      </c>
      <c r="F713" s="41">
        <f>SUM(F695:F712)</f>
        <v>394500</v>
      </c>
      <c r="G713" s="41">
        <f>SUM(G695:G712)</f>
        <v>34000</v>
      </c>
      <c r="H713" s="42">
        <f>G713/D713</f>
        <v>0.09431345353675451</v>
      </c>
    </row>
    <row r="714" spans="3:8" ht="12.75">
      <c r="C714" s="13"/>
      <c r="D714" s="13"/>
      <c r="E714" s="13"/>
      <c r="F714" s="13"/>
      <c r="G714" s="13"/>
      <c r="H714" s="13"/>
    </row>
    <row r="715" spans="1:8" ht="12.75">
      <c r="A715" t="s">
        <v>579</v>
      </c>
      <c r="B715" t="s">
        <v>337</v>
      </c>
      <c r="C715" s="9">
        <v>5975</v>
      </c>
      <c r="D715" s="9">
        <v>5975</v>
      </c>
      <c r="E715" s="9">
        <v>6274</v>
      </c>
      <c r="F715" s="9">
        <v>6274</v>
      </c>
      <c r="G715" s="9">
        <f aca="true" t="shared" si="52" ref="G715:G722">F715-D715</f>
        <v>299</v>
      </c>
      <c r="H715" s="10">
        <f aca="true" t="shared" si="53" ref="H715:H722">G715/D715</f>
        <v>0.0500418410041841</v>
      </c>
    </row>
    <row r="716" spans="1:8" ht="12.75">
      <c r="A716" t="s">
        <v>580</v>
      </c>
      <c r="B716" t="s">
        <v>581</v>
      </c>
      <c r="C716" s="9">
        <v>20000</v>
      </c>
      <c r="D716" s="9">
        <v>20000</v>
      </c>
      <c r="E716" s="9">
        <v>21000</v>
      </c>
      <c r="F716" s="9">
        <v>21000</v>
      </c>
      <c r="G716" s="9">
        <f t="shared" si="52"/>
        <v>1000</v>
      </c>
      <c r="H716" s="10">
        <f t="shared" si="53"/>
        <v>0.05</v>
      </c>
    </row>
    <row r="717" spans="1:8" ht="12.75">
      <c r="A717" t="s">
        <v>582</v>
      </c>
      <c r="B717" t="s">
        <v>106</v>
      </c>
      <c r="C717" s="9">
        <v>8000</v>
      </c>
      <c r="D717" s="9">
        <v>8000</v>
      </c>
      <c r="E717" s="9">
        <v>8400</v>
      </c>
      <c r="F717" s="9">
        <v>8400</v>
      </c>
      <c r="G717" s="9">
        <f t="shared" si="52"/>
        <v>400</v>
      </c>
      <c r="H717" s="10">
        <f t="shared" si="53"/>
        <v>0.05</v>
      </c>
    </row>
    <row r="718" spans="1:8" ht="12.75">
      <c r="A718" t="s">
        <v>583</v>
      </c>
      <c r="B718" t="s">
        <v>584</v>
      </c>
      <c r="C718" s="29">
        <v>15000</v>
      </c>
      <c r="D718" s="29">
        <v>15000</v>
      </c>
      <c r="E718" s="29">
        <v>15250</v>
      </c>
      <c r="F718" s="29">
        <v>15250</v>
      </c>
      <c r="G718" s="9">
        <f t="shared" si="52"/>
        <v>250</v>
      </c>
      <c r="H718" s="10">
        <f t="shared" si="53"/>
        <v>0.016666666666666666</v>
      </c>
    </row>
    <row r="719" spans="1:8" ht="12.75">
      <c r="A719" t="s">
        <v>585</v>
      </c>
      <c r="B719" t="s">
        <v>586</v>
      </c>
      <c r="C719" s="9">
        <v>9300</v>
      </c>
      <c r="D719" s="9">
        <v>9300</v>
      </c>
      <c r="E719" s="9">
        <v>9765</v>
      </c>
      <c r="F719" s="9">
        <f>9765-300</f>
        <v>9465</v>
      </c>
      <c r="G719" s="9">
        <f t="shared" si="52"/>
        <v>165</v>
      </c>
      <c r="H719" s="10">
        <f t="shared" si="53"/>
        <v>0.017741935483870968</v>
      </c>
    </row>
    <row r="720" spans="1:8" ht="12.75">
      <c r="A720" t="s">
        <v>587</v>
      </c>
      <c r="B720" t="s">
        <v>588</v>
      </c>
      <c r="C720" s="9">
        <v>8000</v>
      </c>
      <c r="D720" s="9">
        <v>8000</v>
      </c>
      <c r="E720" s="9">
        <v>8400</v>
      </c>
      <c r="F720" s="9">
        <v>8400</v>
      </c>
      <c r="G720" s="9">
        <f t="shared" si="52"/>
        <v>400</v>
      </c>
      <c r="H720" s="10">
        <f t="shared" si="53"/>
        <v>0.05</v>
      </c>
    </row>
    <row r="721" spans="1:8" ht="12.75">
      <c r="A721" t="s">
        <v>589</v>
      </c>
      <c r="B721" t="s">
        <v>94</v>
      </c>
      <c r="C721" s="9">
        <v>1500</v>
      </c>
      <c r="D721" s="9">
        <v>1500</v>
      </c>
      <c r="E721" s="9">
        <v>1575</v>
      </c>
      <c r="F721" s="9">
        <v>1575</v>
      </c>
      <c r="G721" s="9">
        <f t="shared" si="52"/>
        <v>75</v>
      </c>
      <c r="H721" s="10">
        <f t="shared" si="53"/>
        <v>0.05</v>
      </c>
    </row>
    <row r="722" spans="1:8" ht="12.75">
      <c r="A722" t="s">
        <v>590</v>
      </c>
      <c r="B722" t="s">
        <v>404</v>
      </c>
      <c r="C722" s="9"/>
      <c r="D722" s="9"/>
      <c r="E722" s="9"/>
      <c r="F722" s="9"/>
      <c r="G722" s="9">
        <f t="shared" si="52"/>
        <v>0</v>
      </c>
      <c r="H722" s="10" t="e">
        <f t="shared" si="53"/>
        <v>#DIV/0!</v>
      </c>
    </row>
    <row r="723" spans="2:8" ht="12.75">
      <c r="B723" s="8" t="s">
        <v>48</v>
      </c>
      <c r="C723" s="41">
        <f>SUM(C715:C722)</f>
        <v>67775</v>
      </c>
      <c r="D723" s="41">
        <f>SUM(D715:D722)</f>
        <v>67775</v>
      </c>
      <c r="E723" s="41">
        <f>SUM(E715:E722)</f>
        <v>70664</v>
      </c>
      <c r="F723" s="41">
        <f>SUM(F715:F722)</f>
        <v>70364</v>
      </c>
      <c r="G723" s="41">
        <f>SUM(G715:G722)</f>
        <v>2589</v>
      </c>
      <c r="H723" s="42">
        <f>G723/D723</f>
        <v>0.038199926226484694</v>
      </c>
    </row>
    <row r="724" spans="3:8" ht="12.75">
      <c r="C724" s="13"/>
      <c r="D724" s="13"/>
      <c r="E724" s="13"/>
      <c r="F724" s="13"/>
      <c r="G724" s="13"/>
      <c r="H724" s="13"/>
    </row>
    <row r="725" spans="1:8" ht="12.75">
      <c r="A725" t="s">
        <v>591</v>
      </c>
      <c r="B725" t="s">
        <v>592</v>
      </c>
      <c r="C725" s="9">
        <v>1000</v>
      </c>
      <c r="D725" s="9">
        <v>1000</v>
      </c>
      <c r="E725" s="9">
        <v>2000</v>
      </c>
      <c r="F725" s="9">
        <v>1000</v>
      </c>
      <c r="G725" s="9">
        <f aca="true" t="shared" si="54" ref="G725:G732">F725-D725</f>
        <v>0</v>
      </c>
      <c r="H725" s="10">
        <f aca="true" t="shared" si="55" ref="H725:H732">G725/D725</f>
        <v>0</v>
      </c>
    </row>
    <row r="726" spans="2:8" ht="12.75">
      <c r="B726" t="s">
        <v>499</v>
      </c>
      <c r="C726" s="9">
        <v>100000</v>
      </c>
      <c r="D726" s="9">
        <v>100000</v>
      </c>
      <c r="E726" s="9"/>
      <c r="F726" s="9"/>
      <c r="G726" s="9">
        <f t="shared" si="54"/>
        <v>-100000</v>
      </c>
      <c r="H726" s="10">
        <f t="shared" si="55"/>
        <v>-1</v>
      </c>
    </row>
    <row r="727" spans="1:8" ht="12.75">
      <c r="A727" t="s">
        <v>593</v>
      </c>
      <c r="B727" t="s">
        <v>594</v>
      </c>
      <c r="C727" s="9">
        <v>551200</v>
      </c>
      <c r="D727" s="9">
        <v>551200</v>
      </c>
      <c r="E727" s="9">
        <v>552400</v>
      </c>
      <c r="F727" s="9">
        <v>552400</v>
      </c>
      <c r="G727" s="9">
        <f t="shared" si="54"/>
        <v>1200</v>
      </c>
      <c r="H727" s="10">
        <f t="shared" si="55"/>
        <v>0.0021770682148040637</v>
      </c>
    </row>
    <row r="728" spans="1:8" ht="12.75">
      <c r="A728" t="s">
        <v>595</v>
      </c>
      <c r="B728" t="s">
        <v>596</v>
      </c>
      <c r="C728" s="9">
        <v>189238</v>
      </c>
      <c r="D728" s="9">
        <v>189238</v>
      </c>
      <c r="E728" s="9">
        <v>169475</v>
      </c>
      <c r="F728" s="9">
        <v>169475</v>
      </c>
      <c r="G728" s="9">
        <f t="shared" si="54"/>
        <v>-19763</v>
      </c>
      <c r="H728" s="10">
        <f t="shared" si="55"/>
        <v>-0.10443462729472938</v>
      </c>
    </row>
    <row r="729" spans="1:8" ht="12.75">
      <c r="A729" t="s">
        <v>597</v>
      </c>
      <c r="B729" t="s">
        <v>598</v>
      </c>
      <c r="C729" s="9">
        <v>9000</v>
      </c>
      <c r="D729" s="9">
        <v>9000</v>
      </c>
      <c r="E729" s="9">
        <v>9000</v>
      </c>
      <c r="F729" s="9">
        <v>9000</v>
      </c>
      <c r="G729" s="9">
        <f t="shared" si="54"/>
        <v>0</v>
      </c>
      <c r="H729" s="10">
        <f t="shared" si="55"/>
        <v>0</v>
      </c>
    </row>
    <row r="730" spans="1:8" ht="12.75">
      <c r="A730" t="s">
        <v>599</v>
      </c>
      <c r="B730" t="s">
        <v>600</v>
      </c>
      <c r="C730" s="9">
        <v>50000</v>
      </c>
      <c r="D730" s="9">
        <v>50000</v>
      </c>
      <c r="E730" s="9">
        <v>50000</v>
      </c>
      <c r="F730" s="9">
        <v>30000</v>
      </c>
      <c r="G730" s="9">
        <f t="shared" si="54"/>
        <v>-20000</v>
      </c>
      <c r="H730" s="10">
        <f t="shared" si="55"/>
        <v>-0.4</v>
      </c>
    </row>
    <row r="731" spans="1:8" ht="12.75">
      <c r="A731" t="s">
        <v>601</v>
      </c>
      <c r="B731" t="s">
        <v>602</v>
      </c>
      <c r="C731" s="9">
        <v>30000</v>
      </c>
      <c r="D731" s="9">
        <v>30000</v>
      </c>
      <c r="E731" s="9">
        <v>40000</v>
      </c>
      <c r="F731" s="9">
        <v>20000</v>
      </c>
      <c r="G731" s="9">
        <f t="shared" si="54"/>
        <v>-10000</v>
      </c>
      <c r="H731" s="10">
        <f t="shared" si="55"/>
        <v>-0.3333333333333333</v>
      </c>
    </row>
    <row r="732" spans="2:8" ht="12.75">
      <c r="B732" t="s">
        <v>603</v>
      </c>
      <c r="C732" s="9">
        <v>3000</v>
      </c>
      <c r="D732" s="9">
        <v>3000</v>
      </c>
      <c r="E732" s="9">
        <v>3000</v>
      </c>
      <c r="F732" s="9">
        <v>3000</v>
      </c>
      <c r="G732" s="9">
        <f t="shared" si="54"/>
        <v>0</v>
      </c>
      <c r="H732" s="10">
        <f t="shared" si="55"/>
        <v>0</v>
      </c>
    </row>
    <row r="733" spans="2:8" ht="12.75">
      <c r="B733" s="8" t="s">
        <v>22</v>
      </c>
      <c r="C733" s="41">
        <f>SUM(C725:C732)</f>
        <v>933438</v>
      </c>
      <c r="D733" s="41">
        <f>SUM(D725:D732)</f>
        <v>933438</v>
      </c>
      <c r="E733" s="41">
        <f>SUM(E725:E732)</f>
        <v>825875</v>
      </c>
      <c r="F733" s="41">
        <f>SUM(F725:F732)</f>
        <v>784875</v>
      </c>
      <c r="G733" s="41">
        <f>SUM(G725:G732)</f>
        <v>-148563</v>
      </c>
      <c r="H733" s="42">
        <f>G733/D733</f>
        <v>-0.15915679455946727</v>
      </c>
    </row>
    <row r="734" spans="3:8" ht="12.75">
      <c r="C734" s="13"/>
      <c r="D734" s="13"/>
      <c r="E734" s="13"/>
      <c r="F734" s="13"/>
      <c r="G734" s="13"/>
      <c r="H734" s="13"/>
    </row>
    <row r="735" spans="1:8" ht="12.75">
      <c r="A735" t="s">
        <v>604</v>
      </c>
      <c r="B735" t="s">
        <v>605</v>
      </c>
      <c r="C735" s="9">
        <v>80000</v>
      </c>
      <c r="D735" s="9">
        <v>80000</v>
      </c>
      <c r="E735" s="9">
        <v>86000</v>
      </c>
      <c r="F735" s="9">
        <v>50000</v>
      </c>
      <c r="G735" s="9">
        <f>F735-D735</f>
        <v>-30000</v>
      </c>
      <c r="H735" s="10">
        <f>G735/D735</f>
        <v>-0.375</v>
      </c>
    </row>
    <row r="736" spans="1:8" ht="12.75">
      <c r="A736" t="s">
        <v>606</v>
      </c>
      <c r="B736" t="s">
        <v>607</v>
      </c>
      <c r="C736" s="9"/>
      <c r="D736" s="9"/>
      <c r="E736" s="9"/>
      <c r="F736" s="9"/>
      <c r="G736" s="9">
        <f>F736-D736</f>
        <v>0</v>
      </c>
      <c r="H736" s="10" t="e">
        <f>G736/D736</f>
        <v>#DIV/0!</v>
      </c>
    </row>
    <row r="737" spans="2:8" ht="12.75">
      <c r="B737" t="s">
        <v>608</v>
      </c>
      <c r="C737" s="9"/>
      <c r="D737" s="9"/>
      <c r="E737" s="9"/>
      <c r="F737" s="9"/>
      <c r="G737" s="9">
        <f>F737-D737</f>
        <v>0</v>
      </c>
      <c r="H737" s="10" t="e">
        <f>G737/D737</f>
        <v>#DIV/0!</v>
      </c>
    </row>
    <row r="738" spans="1:8" ht="12.75">
      <c r="A738" t="s">
        <v>609</v>
      </c>
      <c r="B738" t="s">
        <v>610</v>
      </c>
      <c r="C738" s="9"/>
      <c r="D738" s="9"/>
      <c r="E738" s="9"/>
      <c r="F738" s="9"/>
      <c r="G738" s="9">
        <f>F738-D738</f>
        <v>0</v>
      </c>
      <c r="H738" s="10" t="e">
        <f>G738/D738</f>
        <v>#DIV/0!</v>
      </c>
    </row>
    <row r="739" spans="2:8" ht="12.75">
      <c r="B739" s="8" t="s">
        <v>65</v>
      </c>
      <c r="C739" s="41">
        <f>SUM(C735:C738)</f>
        <v>80000</v>
      </c>
      <c r="D739" s="41">
        <f>SUM(D735:D738)</f>
        <v>80000</v>
      </c>
      <c r="E739" s="41">
        <f>SUM(E735:E738)</f>
        <v>86000</v>
      </c>
      <c r="F739" s="41">
        <f>SUM(F735:F738)</f>
        <v>50000</v>
      </c>
      <c r="G739" s="41">
        <f>SUM(G735:G738)</f>
        <v>-30000</v>
      </c>
      <c r="H739" s="42">
        <f>G739/D739</f>
        <v>-0.375</v>
      </c>
    </row>
    <row r="740" spans="2:8" ht="12.75">
      <c r="B740" s="8"/>
      <c r="C740" s="43"/>
      <c r="D740" s="43"/>
      <c r="E740" s="43"/>
      <c r="F740" s="43"/>
      <c r="G740" s="43"/>
      <c r="H740" s="43"/>
    </row>
    <row r="741" spans="2:8" ht="12.75">
      <c r="B741" s="8" t="s">
        <v>611</v>
      </c>
      <c r="C741" s="9">
        <v>312717</v>
      </c>
      <c r="D741" s="9">
        <v>312717</v>
      </c>
      <c r="E741" s="9">
        <v>324952</v>
      </c>
      <c r="F741" s="9">
        <v>324952</v>
      </c>
      <c r="G741" s="9">
        <f>F741-D741</f>
        <v>12235</v>
      </c>
      <c r="H741" s="10">
        <f>G741/D741</f>
        <v>0.03912483171685582</v>
      </c>
    </row>
    <row r="742" spans="3:8" ht="12.75">
      <c r="C742" s="13"/>
      <c r="D742" s="13"/>
      <c r="E742" s="13"/>
      <c r="F742" s="13"/>
      <c r="G742" s="13"/>
      <c r="H742" s="13"/>
    </row>
    <row r="743" spans="2:8" s="15" customFormat="1" ht="12.75">
      <c r="B743" s="44" t="s">
        <v>612</v>
      </c>
      <c r="C743" s="17">
        <f>SUM(C693+C733+C723+C713+C739+C741)</f>
        <v>2059620</v>
      </c>
      <c r="D743" s="17">
        <f>SUM(D693+D733+D723+D713+D739+D741)</f>
        <v>2059620</v>
      </c>
      <c r="E743" s="17">
        <f>SUM(E693+E733+E723+E713+E739+E741)</f>
        <v>2070967</v>
      </c>
      <c r="F743" s="17">
        <f>SUM(F693+F733+F723+F713+F739+F741)</f>
        <v>1956667</v>
      </c>
      <c r="G743" s="17">
        <f>SUM(G693+G733+G723+G713+G739+G741)</f>
        <v>-102953</v>
      </c>
      <c r="H743" s="18">
        <f>G743/D743</f>
        <v>-0.04998640525922257</v>
      </c>
    </row>
    <row r="744" spans="2:8" ht="12.75">
      <c r="B744" s="25"/>
      <c r="C744" s="11"/>
      <c r="D744" s="11"/>
      <c r="E744" s="11"/>
      <c r="F744" s="11"/>
      <c r="G744" s="11"/>
      <c r="H744" s="11"/>
    </row>
    <row r="745" spans="2:8" ht="12.75">
      <c r="B745" s="25"/>
      <c r="C745" s="11"/>
      <c r="D745" s="11"/>
      <c r="E745" s="11"/>
      <c r="F745" s="11"/>
      <c r="G745" s="11"/>
      <c r="H745" s="11"/>
    </row>
    <row r="746" spans="3:7" ht="12.75">
      <c r="C746" s="1" t="s">
        <v>0</v>
      </c>
      <c r="D746" s="1" t="s">
        <v>1</v>
      </c>
      <c r="E746" s="1" t="s">
        <v>0</v>
      </c>
      <c r="F746" s="1" t="s">
        <v>1</v>
      </c>
      <c r="G746" s="2"/>
    </row>
    <row r="747" spans="3:8" ht="12.75">
      <c r="C747" s="1" t="s">
        <v>2</v>
      </c>
      <c r="D747" s="1" t="s">
        <v>2</v>
      </c>
      <c r="E747" s="1" t="s">
        <v>2</v>
      </c>
      <c r="F747" s="1" t="s">
        <v>2</v>
      </c>
      <c r="G747" s="3">
        <v>2015</v>
      </c>
      <c r="H747" s="3">
        <v>2015</v>
      </c>
    </row>
    <row r="748" spans="1:8" ht="12.75">
      <c r="A748" s="2"/>
      <c r="B748" s="1" t="s">
        <v>5</v>
      </c>
      <c r="C748" s="3">
        <v>2014</v>
      </c>
      <c r="D748" s="3">
        <v>2014</v>
      </c>
      <c r="E748" s="3">
        <v>2015</v>
      </c>
      <c r="F748" s="3">
        <v>2015</v>
      </c>
      <c r="G748" s="2" t="s">
        <v>6</v>
      </c>
      <c r="H748" s="2" t="s">
        <v>6</v>
      </c>
    </row>
    <row r="749" spans="1:8" ht="12.75">
      <c r="A749" s="4" t="s">
        <v>7</v>
      </c>
      <c r="B749" s="5" t="s">
        <v>8</v>
      </c>
      <c r="C749" s="5" t="s">
        <v>9</v>
      </c>
      <c r="D749" s="5" t="s">
        <v>9</v>
      </c>
      <c r="E749" s="5" t="s">
        <v>9</v>
      </c>
      <c r="F749" s="5" t="s">
        <v>9</v>
      </c>
      <c r="G749" s="4" t="s">
        <v>10</v>
      </c>
      <c r="H749" s="4" t="s">
        <v>10</v>
      </c>
    </row>
    <row r="750" spans="2:8" ht="12.75">
      <c r="B750" s="8" t="s">
        <v>613</v>
      </c>
      <c r="C750" s="13"/>
      <c r="D750" s="13"/>
      <c r="E750" s="13"/>
      <c r="F750" s="13"/>
      <c r="G750" s="13"/>
      <c r="H750" s="13"/>
    </row>
    <row r="751" spans="1:8" ht="12.75">
      <c r="A751" t="s">
        <v>614</v>
      </c>
      <c r="B751" t="s">
        <v>538</v>
      </c>
      <c r="C751" s="9"/>
      <c r="D751" s="9"/>
      <c r="E751" s="9"/>
      <c r="F751" s="9"/>
      <c r="G751" s="9">
        <f aca="true" t="shared" si="56" ref="G751:G758">F751-D751</f>
        <v>0</v>
      </c>
      <c r="H751" s="10" t="e">
        <f aca="true" t="shared" si="57" ref="H751:H758">G751/D751</f>
        <v>#DIV/0!</v>
      </c>
    </row>
    <row r="752" spans="1:8" ht="12.75">
      <c r="A752" t="s">
        <v>615</v>
      </c>
      <c r="B752" t="s">
        <v>616</v>
      </c>
      <c r="C752" s="9"/>
      <c r="D752" s="9"/>
      <c r="E752" s="9"/>
      <c r="F752" s="9"/>
      <c r="G752" s="9">
        <f t="shared" si="56"/>
        <v>0</v>
      </c>
      <c r="H752" s="10" t="e">
        <f t="shared" si="57"/>
        <v>#DIV/0!</v>
      </c>
    </row>
    <row r="753" spans="1:8" ht="12.75">
      <c r="A753" t="s">
        <v>617</v>
      </c>
      <c r="B753" t="s">
        <v>618</v>
      </c>
      <c r="C753" s="9"/>
      <c r="D753" s="9"/>
      <c r="E753" s="9">
        <v>5000</v>
      </c>
      <c r="F753" s="9">
        <v>5000</v>
      </c>
      <c r="G753" s="9">
        <f t="shared" si="56"/>
        <v>5000</v>
      </c>
      <c r="H753" s="10" t="e">
        <f t="shared" si="57"/>
        <v>#DIV/0!</v>
      </c>
    </row>
    <row r="754" spans="1:8" ht="12.75">
      <c r="A754" t="s">
        <v>619</v>
      </c>
      <c r="B754" t="s">
        <v>620</v>
      </c>
      <c r="C754" s="9"/>
      <c r="D754" s="9"/>
      <c r="E754" s="9">
        <v>2500</v>
      </c>
      <c r="F754" s="9">
        <v>2500</v>
      </c>
      <c r="G754" s="9">
        <f t="shared" si="56"/>
        <v>2500</v>
      </c>
      <c r="H754" s="10" t="e">
        <f t="shared" si="57"/>
        <v>#DIV/0!</v>
      </c>
    </row>
    <row r="755" spans="1:8" ht="12.75">
      <c r="A755" t="s">
        <v>621</v>
      </c>
      <c r="B755" t="s">
        <v>548</v>
      </c>
      <c r="C755" s="9"/>
      <c r="D755" s="9"/>
      <c r="E755" s="9"/>
      <c r="F755" s="9"/>
      <c r="G755" s="9">
        <f t="shared" si="56"/>
        <v>0</v>
      </c>
      <c r="H755" s="10" t="e">
        <f t="shared" si="57"/>
        <v>#DIV/0!</v>
      </c>
    </row>
    <row r="756" spans="1:8" ht="12.75">
      <c r="A756" t="s">
        <v>622</v>
      </c>
      <c r="B756" t="s">
        <v>623</v>
      </c>
      <c r="C756" s="9"/>
      <c r="D756" s="9"/>
      <c r="E756" s="9"/>
      <c r="F756" s="9"/>
      <c r="G756" s="9">
        <f t="shared" si="56"/>
        <v>0</v>
      </c>
      <c r="H756" s="10" t="e">
        <f t="shared" si="57"/>
        <v>#DIV/0!</v>
      </c>
    </row>
    <row r="757" spans="1:8" ht="12.75">
      <c r="A757" t="s">
        <v>624</v>
      </c>
      <c r="B757" t="s">
        <v>93</v>
      </c>
      <c r="C757" s="9"/>
      <c r="D757" s="9"/>
      <c r="E757" s="9"/>
      <c r="F757" s="9"/>
      <c r="G757" s="9">
        <f t="shared" si="56"/>
        <v>0</v>
      </c>
      <c r="H757" s="10" t="e">
        <f t="shared" si="57"/>
        <v>#DIV/0!</v>
      </c>
    </row>
    <row r="758" spans="1:8" ht="12.75">
      <c r="A758" t="s">
        <v>625</v>
      </c>
      <c r="B758" t="s">
        <v>554</v>
      </c>
      <c r="C758" s="9"/>
      <c r="D758" s="9"/>
      <c r="E758" s="9"/>
      <c r="F758" s="9"/>
      <c r="G758" s="9">
        <f t="shared" si="56"/>
        <v>0</v>
      </c>
      <c r="H758" s="10" t="e">
        <f t="shared" si="57"/>
        <v>#DIV/0!</v>
      </c>
    </row>
    <row r="759" spans="2:8" ht="12.75">
      <c r="B759" s="8" t="s">
        <v>15</v>
      </c>
      <c r="C759" s="41">
        <f>SUM(C751:C758)</f>
        <v>0</v>
      </c>
      <c r="D759" s="41">
        <f>SUM(D751:D758)</f>
        <v>0</v>
      </c>
      <c r="E759" s="41">
        <f>SUM(E751:E758)</f>
        <v>7500</v>
      </c>
      <c r="F759" s="41">
        <f>SUM(F751:F758)</f>
        <v>7500</v>
      </c>
      <c r="G759" s="41">
        <f>SUM(G751:G758)</f>
        <v>7500</v>
      </c>
      <c r="H759" s="42" t="e">
        <f>G759/D759</f>
        <v>#DIV/0!</v>
      </c>
    </row>
    <row r="760" spans="3:8" ht="12.75">
      <c r="C760" s="13"/>
      <c r="D760" s="13"/>
      <c r="E760" s="13"/>
      <c r="F760" s="13"/>
      <c r="G760" s="13"/>
      <c r="H760" s="13"/>
    </row>
    <row r="761" spans="1:8" ht="12.75">
      <c r="A761" t="s">
        <v>626</v>
      </c>
      <c r="B761" t="s">
        <v>556</v>
      </c>
      <c r="C761" s="9">
        <v>5500</v>
      </c>
      <c r="D761" s="9">
        <v>5500</v>
      </c>
      <c r="E761" s="9">
        <v>5500</v>
      </c>
      <c r="F761" s="9">
        <v>5500</v>
      </c>
      <c r="G761" s="9">
        <f aca="true" t="shared" si="58" ref="G761:G775">F761-D761</f>
        <v>0</v>
      </c>
      <c r="H761" s="10">
        <f aca="true" t="shared" si="59" ref="H761:H775">G761/D761</f>
        <v>0</v>
      </c>
    </row>
    <row r="762" spans="1:8" ht="12.75">
      <c r="A762" t="s">
        <v>627</v>
      </c>
      <c r="B762" t="s">
        <v>558</v>
      </c>
      <c r="C762" s="9">
        <v>1000</v>
      </c>
      <c r="D762" s="9">
        <v>1000</v>
      </c>
      <c r="E762" s="9">
        <v>500</v>
      </c>
      <c r="F762" s="9">
        <v>500</v>
      </c>
      <c r="G762" s="9">
        <f t="shared" si="58"/>
        <v>-500</v>
      </c>
      <c r="H762" s="10">
        <f t="shared" si="59"/>
        <v>-0.5</v>
      </c>
    </row>
    <row r="763" spans="1:8" ht="12.75">
      <c r="A763" t="s">
        <v>628</v>
      </c>
      <c r="B763" t="s">
        <v>629</v>
      </c>
      <c r="C763" s="9">
        <v>529795</v>
      </c>
      <c r="D763" s="9">
        <v>529795</v>
      </c>
      <c r="E763" s="9">
        <v>548338</v>
      </c>
      <c r="F763" s="9">
        <v>548338</v>
      </c>
      <c r="G763" s="9">
        <f t="shared" si="58"/>
        <v>18543</v>
      </c>
      <c r="H763" s="10">
        <f t="shared" si="59"/>
        <v>0.03500033031644315</v>
      </c>
    </row>
    <row r="764" spans="1:8" ht="12.75">
      <c r="A764" t="s">
        <v>630</v>
      </c>
      <c r="B764" t="s">
        <v>226</v>
      </c>
      <c r="C764" s="9">
        <v>5000</v>
      </c>
      <c r="D764" s="9">
        <v>5000</v>
      </c>
      <c r="E764" s="9">
        <v>5100</v>
      </c>
      <c r="F764" s="9">
        <v>5100</v>
      </c>
      <c r="G764" s="9">
        <f t="shared" si="58"/>
        <v>100</v>
      </c>
      <c r="H764" s="10">
        <f t="shared" si="59"/>
        <v>0.02</v>
      </c>
    </row>
    <row r="765" spans="1:8" ht="12.75">
      <c r="A765" t="s">
        <v>631</v>
      </c>
      <c r="B765" t="s">
        <v>384</v>
      </c>
      <c r="C765" s="9">
        <v>65000</v>
      </c>
      <c r="D765" s="9">
        <v>65000</v>
      </c>
      <c r="E765" s="9">
        <v>65000</v>
      </c>
      <c r="F765" s="9">
        <v>65000</v>
      </c>
      <c r="G765" s="9">
        <f t="shared" si="58"/>
        <v>0</v>
      </c>
      <c r="H765" s="10">
        <f t="shared" si="59"/>
        <v>0</v>
      </c>
    </row>
    <row r="766" spans="1:8" ht="12.75">
      <c r="A766" t="s">
        <v>632</v>
      </c>
      <c r="B766" t="s">
        <v>633</v>
      </c>
      <c r="C766" s="9">
        <f>30000-6992</f>
        <v>23008</v>
      </c>
      <c r="D766" s="9">
        <f>30000-6992</f>
        <v>23008</v>
      </c>
      <c r="E766" s="9">
        <v>20000</v>
      </c>
      <c r="F766" s="9">
        <v>20000</v>
      </c>
      <c r="G766" s="9">
        <f t="shared" si="58"/>
        <v>-3008</v>
      </c>
      <c r="H766" s="10">
        <f t="shared" si="59"/>
        <v>-0.13073713490959665</v>
      </c>
    </row>
    <row r="767" spans="1:8" ht="12.75">
      <c r="A767" t="s">
        <v>634</v>
      </c>
      <c r="B767" t="s">
        <v>45</v>
      </c>
      <c r="C767" s="9">
        <v>1500</v>
      </c>
      <c r="D767" s="9">
        <v>1500</v>
      </c>
      <c r="E767" s="9">
        <v>1500</v>
      </c>
      <c r="F767" s="9">
        <v>1500</v>
      </c>
      <c r="G767" s="9">
        <f t="shared" si="58"/>
        <v>0</v>
      </c>
      <c r="H767" s="10">
        <f t="shared" si="59"/>
        <v>0</v>
      </c>
    </row>
    <row r="768" spans="1:8" ht="12.75">
      <c r="A768" t="s">
        <v>635</v>
      </c>
      <c r="B768" t="s">
        <v>282</v>
      </c>
      <c r="C768" s="9">
        <v>8400</v>
      </c>
      <c r="D768" s="9">
        <v>8400</v>
      </c>
      <c r="E768" s="9">
        <v>8000</v>
      </c>
      <c r="F768" s="9">
        <v>8000</v>
      </c>
      <c r="G768" s="9">
        <f t="shared" si="58"/>
        <v>-400</v>
      </c>
      <c r="H768" s="10">
        <f t="shared" si="59"/>
        <v>-0.047619047619047616</v>
      </c>
    </row>
    <row r="769" spans="1:8" ht="12.75">
      <c r="A769" t="s">
        <v>636</v>
      </c>
      <c r="B769" s="20" t="s">
        <v>637</v>
      </c>
      <c r="C769" s="9">
        <v>10800</v>
      </c>
      <c r="D769" s="9">
        <v>10800</v>
      </c>
      <c r="E769" s="9">
        <v>20000</v>
      </c>
      <c r="F769" s="9">
        <v>20000</v>
      </c>
      <c r="G769" s="9">
        <f t="shared" si="58"/>
        <v>9200</v>
      </c>
      <c r="H769" s="10">
        <f t="shared" si="59"/>
        <v>0.8518518518518519</v>
      </c>
    </row>
    <row r="770" spans="1:8" ht="12.75">
      <c r="A770" t="s">
        <v>638</v>
      </c>
      <c r="B770" t="s">
        <v>413</v>
      </c>
      <c r="C770" s="9">
        <v>14000</v>
      </c>
      <c r="D770" s="9">
        <v>14000</v>
      </c>
      <c r="E770" s="9">
        <v>20000</v>
      </c>
      <c r="F770" s="9">
        <v>20000</v>
      </c>
      <c r="G770" s="9">
        <f t="shared" si="58"/>
        <v>6000</v>
      </c>
      <c r="H770" s="10">
        <f t="shared" si="59"/>
        <v>0.42857142857142855</v>
      </c>
    </row>
    <row r="771" spans="1:8" ht="12.75">
      <c r="A771" t="s">
        <v>639</v>
      </c>
      <c r="B771" t="s">
        <v>640</v>
      </c>
      <c r="C771" s="9">
        <v>120000</v>
      </c>
      <c r="D771" s="9">
        <v>120000</v>
      </c>
      <c r="E771" s="9">
        <v>135000</v>
      </c>
      <c r="F771" s="9">
        <v>135000</v>
      </c>
      <c r="G771" s="9">
        <f t="shared" si="58"/>
        <v>15000</v>
      </c>
      <c r="H771" s="10">
        <f t="shared" si="59"/>
        <v>0.125</v>
      </c>
    </row>
    <row r="772" spans="2:8" ht="12.75">
      <c r="B772" t="s">
        <v>573</v>
      </c>
      <c r="C772" s="9"/>
      <c r="D772" s="9"/>
      <c r="E772" s="9"/>
      <c r="F772" s="9"/>
      <c r="G772" s="9">
        <f t="shared" si="58"/>
        <v>0</v>
      </c>
      <c r="H772" s="10" t="e">
        <f t="shared" si="59"/>
        <v>#DIV/0!</v>
      </c>
    </row>
    <row r="773" spans="1:8" ht="12.75">
      <c r="A773" t="s">
        <v>641</v>
      </c>
      <c r="B773" t="s">
        <v>642</v>
      </c>
      <c r="C773" s="9"/>
      <c r="D773" s="9"/>
      <c r="E773" s="9"/>
      <c r="F773" s="9"/>
      <c r="G773" s="9">
        <f t="shared" si="58"/>
        <v>0</v>
      </c>
      <c r="H773" s="10" t="e">
        <f t="shared" si="59"/>
        <v>#DIV/0!</v>
      </c>
    </row>
    <row r="774" spans="2:8" ht="12.75">
      <c r="B774" t="s">
        <v>643</v>
      </c>
      <c r="C774" s="9">
        <v>10000</v>
      </c>
      <c r="D774" s="9">
        <v>10000</v>
      </c>
      <c r="E774" s="9">
        <v>10000</v>
      </c>
      <c r="F774" s="9">
        <v>10000</v>
      </c>
      <c r="G774" s="9">
        <f t="shared" si="58"/>
        <v>0</v>
      </c>
      <c r="H774" s="10">
        <f t="shared" si="59"/>
        <v>0</v>
      </c>
    </row>
    <row r="775" spans="1:8" ht="12.75">
      <c r="A775" t="s">
        <v>644</v>
      </c>
      <c r="B775" t="s">
        <v>578</v>
      </c>
      <c r="C775" s="9">
        <v>5000</v>
      </c>
      <c r="D775" s="9">
        <v>5000</v>
      </c>
      <c r="E775" s="9">
        <v>5000</v>
      </c>
      <c r="F775" s="9">
        <v>5000</v>
      </c>
      <c r="G775" s="9">
        <f t="shared" si="58"/>
        <v>0</v>
      </c>
      <c r="H775" s="10">
        <f t="shared" si="59"/>
        <v>0</v>
      </c>
    </row>
    <row r="776" spans="2:8" ht="12.75">
      <c r="B776" s="8" t="s">
        <v>18</v>
      </c>
      <c r="C776" s="41">
        <f>SUM(C761:C775)</f>
        <v>799003</v>
      </c>
      <c r="D776" s="41">
        <f>SUM(D761:D775)</f>
        <v>799003</v>
      </c>
      <c r="E776" s="41">
        <f>SUM(E761:E775)</f>
        <v>843938</v>
      </c>
      <c r="F776" s="41">
        <f>SUM(F761:F775)</f>
        <v>843938</v>
      </c>
      <c r="G776" s="41">
        <f>SUM(G761:G775)</f>
        <v>44935</v>
      </c>
      <c r="H776" s="42">
        <f>G776/D776</f>
        <v>0.05623883765142309</v>
      </c>
    </row>
    <row r="777" spans="3:8" ht="12.75">
      <c r="C777" s="13"/>
      <c r="D777" s="13"/>
      <c r="E777" s="13"/>
      <c r="F777" s="13"/>
      <c r="G777" s="13"/>
      <c r="H777" s="13"/>
    </row>
    <row r="778" spans="1:8" ht="12.75">
      <c r="A778" t="s">
        <v>645</v>
      </c>
      <c r="B778" t="s">
        <v>337</v>
      </c>
      <c r="C778" s="9">
        <v>1050</v>
      </c>
      <c r="D778" s="9">
        <v>1050</v>
      </c>
      <c r="E778" s="9">
        <v>2000</v>
      </c>
      <c r="F778" s="9">
        <v>2000</v>
      </c>
      <c r="G778" s="9">
        <f aca="true" t="shared" si="60" ref="G778:G785">F778-D778</f>
        <v>950</v>
      </c>
      <c r="H778" s="10">
        <f aca="true" t="shared" si="61" ref="H778:H785">G778/D778</f>
        <v>0.9047619047619048</v>
      </c>
    </row>
    <row r="779" spans="1:8" ht="12.75">
      <c r="A779" t="s">
        <v>646</v>
      </c>
      <c r="B779" t="s">
        <v>581</v>
      </c>
      <c r="C779" s="9">
        <v>130000</v>
      </c>
      <c r="D779" s="9">
        <v>130000</v>
      </c>
      <c r="E779" s="9">
        <v>133900</v>
      </c>
      <c r="F779" s="9">
        <v>133900</v>
      </c>
      <c r="G779" s="9">
        <f t="shared" si="60"/>
        <v>3900</v>
      </c>
      <c r="H779" s="10">
        <f t="shared" si="61"/>
        <v>0.03</v>
      </c>
    </row>
    <row r="780" spans="1:8" ht="12.75">
      <c r="A780" t="s">
        <v>647</v>
      </c>
      <c r="B780" t="s">
        <v>106</v>
      </c>
      <c r="C780" s="9">
        <v>2090</v>
      </c>
      <c r="D780" s="9">
        <v>2090</v>
      </c>
      <c r="E780" s="9">
        <v>2700</v>
      </c>
      <c r="F780" s="9">
        <v>2700</v>
      </c>
      <c r="G780" s="9">
        <f t="shared" si="60"/>
        <v>610</v>
      </c>
      <c r="H780" s="10">
        <f t="shared" si="61"/>
        <v>0.291866028708134</v>
      </c>
    </row>
    <row r="781" spans="1:8" ht="12.75">
      <c r="A781" t="s">
        <v>648</v>
      </c>
      <c r="B781" t="s">
        <v>649</v>
      </c>
      <c r="C781" s="9"/>
      <c r="D781" s="9"/>
      <c r="E781" s="9"/>
      <c r="F781" s="9"/>
      <c r="G781" s="9">
        <f t="shared" si="60"/>
        <v>0</v>
      </c>
      <c r="H781" s="10" t="e">
        <f t="shared" si="61"/>
        <v>#DIV/0!</v>
      </c>
    </row>
    <row r="782" spans="1:8" ht="12.75">
      <c r="A782" t="s">
        <v>650</v>
      </c>
      <c r="B782" s="20" t="s">
        <v>651</v>
      </c>
      <c r="C782" s="9">
        <v>3000</v>
      </c>
      <c r="D782" s="9">
        <v>3000</v>
      </c>
      <c r="E782" s="9">
        <v>5000</v>
      </c>
      <c r="F782" s="9">
        <v>5000</v>
      </c>
      <c r="G782" s="9">
        <f t="shared" si="60"/>
        <v>2000</v>
      </c>
      <c r="H782" s="10">
        <f t="shared" si="61"/>
        <v>0.6666666666666666</v>
      </c>
    </row>
    <row r="783" spans="1:8" ht="12.75">
      <c r="A783" t="s">
        <v>652</v>
      </c>
      <c r="B783" t="s">
        <v>653</v>
      </c>
      <c r="C783" s="9">
        <v>30000</v>
      </c>
      <c r="D783" s="9">
        <v>30000</v>
      </c>
      <c r="E783" s="9">
        <v>40000</v>
      </c>
      <c r="F783" s="9">
        <v>40000</v>
      </c>
      <c r="G783" s="9">
        <f t="shared" si="60"/>
        <v>10000</v>
      </c>
      <c r="H783" s="10">
        <f t="shared" si="61"/>
        <v>0.3333333333333333</v>
      </c>
    </row>
    <row r="784" spans="1:8" ht="12.75">
      <c r="A784" t="s">
        <v>654</v>
      </c>
      <c r="B784" t="s">
        <v>94</v>
      </c>
      <c r="C784" s="9">
        <v>100</v>
      </c>
      <c r="D784" s="9">
        <v>100</v>
      </c>
      <c r="E784" s="9">
        <v>250</v>
      </c>
      <c r="F784" s="9">
        <v>250</v>
      </c>
      <c r="G784" s="9">
        <f t="shared" si="60"/>
        <v>150</v>
      </c>
      <c r="H784" s="10">
        <f t="shared" si="61"/>
        <v>1.5</v>
      </c>
    </row>
    <row r="785" spans="1:8" ht="12.75">
      <c r="A785" t="s">
        <v>655</v>
      </c>
      <c r="B785" t="s">
        <v>404</v>
      </c>
      <c r="C785" s="9"/>
      <c r="D785" s="9"/>
      <c r="E785" s="9">
        <v>5000</v>
      </c>
      <c r="F785" s="9">
        <v>5000</v>
      </c>
      <c r="G785" s="9">
        <f t="shared" si="60"/>
        <v>5000</v>
      </c>
      <c r="H785" s="10" t="e">
        <f t="shared" si="61"/>
        <v>#DIV/0!</v>
      </c>
    </row>
    <row r="786" spans="2:8" ht="12.75">
      <c r="B786" s="8" t="s">
        <v>48</v>
      </c>
      <c r="C786" s="41">
        <f>SUM(C778:C785)</f>
        <v>166240</v>
      </c>
      <c r="D786" s="41">
        <f>SUM(D778:D785)</f>
        <v>166240</v>
      </c>
      <c r="E786" s="41">
        <f>SUM(E778:E785)</f>
        <v>188850</v>
      </c>
      <c r="F786" s="41">
        <f>SUM(F778:F785)</f>
        <v>188850</v>
      </c>
      <c r="G786" s="41">
        <f>SUM(G778:G785)</f>
        <v>22610</v>
      </c>
      <c r="H786" s="42">
        <f>G786/D786</f>
        <v>0.13600818094321462</v>
      </c>
    </row>
    <row r="787" spans="3:8" ht="12.75">
      <c r="C787" s="13"/>
      <c r="D787" s="13"/>
      <c r="E787" s="13"/>
      <c r="F787" s="13"/>
      <c r="G787" s="13"/>
      <c r="H787" s="13"/>
    </row>
    <row r="789" spans="1:8" s="19" customFormat="1" ht="12.75">
      <c r="A789" s="19" t="s">
        <v>656</v>
      </c>
      <c r="B789" s="19" t="s">
        <v>657</v>
      </c>
      <c r="C789" s="9">
        <v>1200</v>
      </c>
      <c r="D789" s="9">
        <v>1200</v>
      </c>
      <c r="E789" s="9">
        <v>750</v>
      </c>
      <c r="F789" s="9">
        <v>750</v>
      </c>
      <c r="G789" s="9">
        <f aca="true" t="shared" si="62" ref="G789:G798">F789-D789</f>
        <v>-450</v>
      </c>
      <c r="H789" s="10">
        <f aca="true" t="shared" si="63" ref="H789:H798">G789/D789</f>
        <v>-0.375</v>
      </c>
    </row>
    <row r="790" spans="1:8" ht="12.75">
      <c r="A790" t="s">
        <v>658</v>
      </c>
      <c r="B790" t="s">
        <v>659</v>
      </c>
      <c r="C790" s="9">
        <v>5500</v>
      </c>
      <c r="D790" s="9">
        <v>5500</v>
      </c>
      <c r="E790" s="9">
        <v>6200</v>
      </c>
      <c r="F790" s="9">
        <v>6200</v>
      </c>
      <c r="G790" s="9">
        <f t="shared" si="62"/>
        <v>700</v>
      </c>
      <c r="H790" s="10">
        <f t="shared" si="63"/>
        <v>0.12727272727272726</v>
      </c>
    </row>
    <row r="791" spans="2:8" ht="12.75">
      <c r="B791" t="s">
        <v>603</v>
      </c>
      <c r="C791" s="9">
        <v>4000</v>
      </c>
      <c r="D791" s="9">
        <v>4000</v>
      </c>
      <c r="E791" s="9">
        <v>3000</v>
      </c>
      <c r="F791" s="9">
        <v>3000</v>
      </c>
      <c r="G791" s="9">
        <f t="shared" si="62"/>
        <v>-1000</v>
      </c>
      <c r="H791" s="10">
        <f t="shared" si="63"/>
        <v>-0.25</v>
      </c>
    </row>
    <row r="792" spans="2:8" ht="12.75">
      <c r="B792" t="s">
        <v>660</v>
      </c>
      <c r="C792" s="9"/>
      <c r="D792" s="9"/>
      <c r="E792" s="9"/>
      <c r="F792" s="9"/>
      <c r="G792" s="9">
        <f t="shared" si="62"/>
        <v>0</v>
      </c>
      <c r="H792" s="10" t="e">
        <f t="shared" si="63"/>
        <v>#DIV/0!</v>
      </c>
    </row>
    <row r="793" spans="2:8" ht="12.75">
      <c r="B793" t="s">
        <v>661</v>
      </c>
      <c r="C793" s="9">
        <f>466425+655.21+1112.62</f>
        <v>468192.83</v>
      </c>
      <c r="D793" s="9">
        <f>466425+655.21+1112.62</f>
        <v>468192.83</v>
      </c>
      <c r="E793" s="9">
        <f>436784+16000</f>
        <v>452784</v>
      </c>
      <c r="F793" s="9">
        <f>436784+16000</f>
        <v>452784</v>
      </c>
      <c r="G793" s="9">
        <f t="shared" si="62"/>
        <v>-15408.830000000016</v>
      </c>
      <c r="H793" s="10">
        <f t="shared" si="63"/>
        <v>-0.03291128999134826</v>
      </c>
    </row>
    <row r="794" spans="1:8" ht="12.75">
      <c r="A794" t="s">
        <v>662</v>
      </c>
      <c r="B794" t="s">
        <v>663</v>
      </c>
      <c r="C794" s="9">
        <f>451696+4501</f>
        <v>456197</v>
      </c>
      <c r="D794" s="9">
        <f>451696+4501</f>
        <v>456197</v>
      </c>
      <c r="E794" s="9">
        <v>487971</v>
      </c>
      <c r="F794" s="9">
        <v>487971</v>
      </c>
      <c r="G794" s="9">
        <f t="shared" si="62"/>
        <v>31774</v>
      </c>
      <c r="H794" s="10">
        <f t="shared" si="63"/>
        <v>0.06964973465410776</v>
      </c>
    </row>
    <row r="795" spans="1:8" ht="12.75">
      <c r="A795" t="s">
        <v>664</v>
      </c>
      <c r="B795" t="s">
        <v>51</v>
      </c>
      <c r="C795" s="9"/>
      <c r="D795" s="9"/>
      <c r="E795" s="9">
        <v>1000</v>
      </c>
      <c r="F795" s="9">
        <v>1000</v>
      </c>
      <c r="G795" s="9">
        <f t="shared" si="62"/>
        <v>1000</v>
      </c>
      <c r="H795" s="10" t="e">
        <f t="shared" si="63"/>
        <v>#DIV/0!</v>
      </c>
    </row>
    <row r="796" spans="1:8" ht="12.75">
      <c r="A796" t="s">
        <v>665</v>
      </c>
      <c r="B796" t="s">
        <v>666</v>
      </c>
      <c r="C796" s="9"/>
      <c r="D796" s="9"/>
      <c r="E796" s="9">
        <v>1000</v>
      </c>
      <c r="F796" s="9">
        <v>1000</v>
      </c>
      <c r="G796" s="9">
        <f t="shared" si="62"/>
        <v>1000</v>
      </c>
      <c r="H796" s="10" t="e">
        <f t="shared" si="63"/>
        <v>#DIV/0!</v>
      </c>
    </row>
    <row r="797" spans="1:8" ht="12.75">
      <c r="A797" t="s">
        <v>667</v>
      </c>
      <c r="B797" t="s">
        <v>600</v>
      </c>
      <c r="C797" s="9"/>
      <c r="D797" s="9"/>
      <c r="E797" s="9">
        <v>30000</v>
      </c>
      <c r="F797" s="9">
        <v>30000</v>
      </c>
      <c r="G797" s="9">
        <f t="shared" si="62"/>
        <v>30000</v>
      </c>
      <c r="H797" s="10" t="e">
        <f t="shared" si="63"/>
        <v>#DIV/0!</v>
      </c>
    </row>
    <row r="798" spans="1:8" ht="12.75">
      <c r="A798" t="s">
        <v>668</v>
      </c>
      <c r="B798" t="s">
        <v>602</v>
      </c>
      <c r="C798" s="9">
        <v>25000</v>
      </c>
      <c r="D798" s="9">
        <v>25000</v>
      </c>
      <c r="E798" s="9"/>
      <c r="F798" s="9"/>
      <c r="G798" s="9">
        <f t="shared" si="62"/>
        <v>-25000</v>
      </c>
      <c r="H798" s="10">
        <f t="shared" si="63"/>
        <v>-1</v>
      </c>
    </row>
    <row r="799" spans="2:8" s="45" customFormat="1" ht="12.75">
      <c r="B799" s="21" t="s">
        <v>22</v>
      </c>
      <c r="C799" s="46">
        <f>SUM(C789:C798)</f>
        <v>960089.8300000001</v>
      </c>
      <c r="D799" s="46">
        <f>SUM(D789:D798)</f>
        <v>960089.8300000001</v>
      </c>
      <c r="E799" s="46">
        <f>SUM(E789:E798)</f>
        <v>982705</v>
      </c>
      <c r="F799" s="46">
        <f>SUM(F789:F798)</f>
        <v>982705</v>
      </c>
      <c r="G799" s="46">
        <f>SUM(G789:G798)</f>
        <v>22615.169999999984</v>
      </c>
      <c r="H799" s="42">
        <f>G799/D799</f>
        <v>0.023555264615187085</v>
      </c>
    </row>
    <row r="800" spans="3:8" ht="12.75">
      <c r="C800" s="13"/>
      <c r="D800" s="13"/>
      <c r="E800" s="13"/>
      <c r="F800" s="13"/>
      <c r="G800" s="13"/>
      <c r="H800" s="13"/>
    </row>
    <row r="801" spans="1:8" ht="12.75">
      <c r="A801" t="s">
        <v>669</v>
      </c>
      <c r="B801" t="s">
        <v>670</v>
      </c>
      <c r="C801" s="9">
        <v>46000</v>
      </c>
      <c r="D801" s="9">
        <v>46000</v>
      </c>
      <c r="E801" s="9">
        <v>90000</v>
      </c>
      <c r="F801" s="9">
        <v>90000</v>
      </c>
      <c r="G801" s="9">
        <f aca="true" t="shared" si="64" ref="G801:G808">F801-D801</f>
        <v>44000</v>
      </c>
      <c r="H801" s="10">
        <f aca="true" t="shared" si="65" ref="H801:H808">G801/D801</f>
        <v>0.9565217391304348</v>
      </c>
    </row>
    <row r="802" spans="1:12" ht="12.75">
      <c r="A802" t="s">
        <v>671</v>
      </c>
      <c r="B802" s="19" t="s">
        <v>672</v>
      </c>
      <c r="C802" s="9">
        <v>46000</v>
      </c>
      <c r="D802" s="9">
        <v>46000</v>
      </c>
      <c r="E802" s="9">
        <v>85000</v>
      </c>
      <c r="F802" s="9">
        <v>85000</v>
      </c>
      <c r="G802" s="9">
        <f t="shared" si="64"/>
        <v>39000</v>
      </c>
      <c r="H802" s="10">
        <f t="shared" si="65"/>
        <v>0.8478260869565217</v>
      </c>
      <c r="I802" s="19"/>
      <c r="J802" s="19"/>
      <c r="K802" s="19"/>
      <c r="L802" s="19"/>
    </row>
    <row r="803" spans="2:8" ht="12.75">
      <c r="B803" s="27" t="s">
        <v>673</v>
      </c>
      <c r="C803" s="9"/>
      <c r="D803" s="9"/>
      <c r="E803" s="9"/>
      <c r="F803" s="9"/>
      <c r="G803" s="9">
        <f t="shared" si="64"/>
        <v>0</v>
      </c>
      <c r="H803" s="10" t="e">
        <f t="shared" si="65"/>
        <v>#DIV/0!</v>
      </c>
    </row>
    <row r="804" spans="2:8" ht="12.75">
      <c r="B804" s="47" t="s">
        <v>674</v>
      </c>
      <c r="C804" s="9"/>
      <c r="D804" s="9"/>
      <c r="E804" s="9"/>
      <c r="F804" s="9"/>
      <c r="G804" s="9">
        <f t="shared" si="64"/>
        <v>0</v>
      </c>
      <c r="H804" s="10" t="e">
        <f t="shared" si="65"/>
        <v>#DIV/0!</v>
      </c>
    </row>
    <row r="805" spans="2:8" ht="12.75">
      <c r="B805" s="47" t="s">
        <v>675</v>
      </c>
      <c r="C805" s="9"/>
      <c r="D805" s="9"/>
      <c r="E805" s="9"/>
      <c r="F805" s="9"/>
      <c r="G805" s="9">
        <f t="shared" si="64"/>
        <v>0</v>
      </c>
      <c r="H805" s="10" t="e">
        <f t="shared" si="65"/>
        <v>#DIV/0!</v>
      </c>
    </row>
    <row r="806" spans="2:8" ht="12.75">
      <c r="B806" s="47" t="s">
        <v>676</v>
      </c>
      <c r="C806" s="9"/>
      <c r="D806" s="9"/>
      <c r="E806" s="9"/>
      <c r="F806" s="9"/>
      <c r="G806" s="9">
        <f t="shared" si="64"/>
        <v>0</v>
      </c>
      <c r="H806" s="10" t="e">
        <f t="shared" si="65"/>
        <v>#DIV/0!</v>
      </c>
    </row>
    <row r="807" spans="2:8" ht="12.75">
      <c r="B807" s="47" t="s">
        <v>677</v>
      </c>
      <c r="C807" s="9"/>
      <c r="D807" s="9"/>
      <c r="E807" s="9"/>
      <c r="F807" s="9"/>
      <c r="G807" s="9">
        <f t="shared" si="64"/>
        <v>0</v>
      </c>
      <c r="H807" s="10" t="e">
        <f t="shared" si="65"/>
        <v>#DIV/0!</v>
      </c>
    </row>
    <row r="808" spans="2:8" ht="12.75">
      <c r="B808" s="27" t="s">
        <v>678</v>
      </c>
      <c r="C808" s="9"/>
      <c r="D808" s="9"/>
      <c r="E808" s="9"/>
      <c r="F808" s="9"/>
      <c r="G808" s="9">
        <f t="shared" si="64"/>
        <v>0</v>
      </c>
      <c r="H808" s="10" t="e">
        <f t="shared" si="65"/>
        <v>#DIV/0!</v>
      </c>
    </row>
    <row r="809" spans="2:8" s="45" customFormat="1" ht="12.75">
      <c r="B809" s="21" t="s">
        <v>65</v>
      </c>
      <c r="C809" s="46">
        <f>SUM(C801:C808)</f>
        <v>92000</v>
      </c>
      <c r="D809" s="46">
        <f>SUM(D801:D808)</f>
        <v>92000</v>
      </c>
      <c r="E809" s="46">
        <f>SUM(E801:E808)</f>
        <v>175000</v>
      </c>
      <c r="F809" s="46">
        <f>SUM(F801:F808)</f>
        <v>175000</v>
      </c>
      <c r="G809" s="46">
        <f>SUM(G801:G808)</f>
        <v>83000</v>
      </c>
      <c r="H809" s="42">
        <f>G809/D809</f>
        <v>0.9021739130434783</v>
      </c>
    </row>
    <row r="810" spans="3:8" ht="12.75">
      <c r="C810" s="13"/>
      <c r="D810" s="13"/>
      <c r="E810" s="13"/>
      <c r="F810" s="13"/>
      <c r="G810" s="13"/>
      <c r="H810" s="13"/>
    </row>
    <row r="811" spans="2:8" s="45" customFormat="1" ht="12.75">
      <c r="B811" s="8" t="s">
        <v>611</v>
      </c>
      <c r="C811" s="11">
        <v>125236</v>
      </c>
      <c r="D811" s="11">
        <v>125236</v>
      </c>
      <c r="E811" s="11">
        <v>127545</v>
      </c>
      <c r="F811" s="11">
        <v>127545</v>
      </c>
      <c r="G811" s="9">
        <f>F811-D811</f>
        <v>2309</v>
      </c>
      <c r="H811" s="10">
        <f>G811/D811</f>
        <v>0.018437190584177074</v>
      </c>
    </row>
    <row r="812" spans="2:8" ht="12.75">
      <c r="B812" s="19"/>
      <c r="C812" s="13"/>
      <c r="D812" s="13"/>
      <c r="E812" s="13"/>
      <c r="F812" s="13"/>
      <c r="G812" s="13"/>
      <c r="H812" s="13"/>
    </row>
    <row r="813" spans="1:8" s="15" customFormat="1" ht="12.75">
      <c r="A813" s="15" t="s">
        <v>679</v>
      </c>
      <c r="B813" s="48" t="s">
        <v>680</v>
      </c>
      <c r="C813" s="17">
        <f>SUM(C811+C809+C799+C786+C776+C759)</f>
        <v>2142568.83</v>
      </c>
      <c r="D813" s="17">
        <f>SUM(D811+D809+D799+D786+D776+D759)</f>
        <v>2142568.83</v>
      </c>
      <c r="E813" s="17">
        <f>SUM(E811+E809+E799+E786+E776+E759)</f>
        <v>2325538</v>
      </c>
      <c r="F813" s="17">
        <f>SUM(F811+F809+F799+F786+F776+F759)</f>
        <v>2325538</v>
      </c>
      <c r="G813" s="17">
        <f>SUM(G811+G809+G799+G786+G776+G759)</f>
        <v>182969.16999999998</v>
      </c>
      <c r="H813" s="18">
        <f>G813/D813</f>
        <v>0.08539710250522033</v>
      </c>
    </row>
    <row r="814" spans="3:8" ht="12.75">
      <c r="C814" s="13"/>
      <c r="D814" s="13"/>
      <c r="E814" s="13"/>
      <c r="F814" s="13"/>
      <c r="G814" s="13"/>
      <c r="H814" s="13"/>
    </row>
    <row r="815" spans="2:8" ht="12.75">
      <c r="B815" s="8" t="s">
        <v>681</v>
      </c>
      <c r="C815" s="43"/>
      <c r="D815" s="43"/>
      <c r="E815" s="43"/>
      <c r="F815" s="43"/>
      <c r="G815" s="43"/>
      <c r="H815" s="43"/>
    </row>
    <row r="816" spans="3:8" ht="12.75">
      <c r="C816" s="49"/>
      <c r="D816" s="49"/>
      <c r="E816" s="49"/>
      <c r="F816" s="49"/>
      <c r="G816" s="50"/>
      <c r="H816" s="50"/>
    </row>
    <row r="817" spans="3:8" ht="12.75">
      <c r="C817" s="13"/>
      <c r="D817" s="13"/>
      <c r="E817" s="13"/>
      <c r="F817" s="13"/>
      <c r="G817" s="13"/>
      <c r="H817" s="50"/>
    </row>
    <row r="818" spans="1:8" ht="12.75">
      <c r="A818" t="s">
        <v>682</v>
      </c>
      <c r="B818" t="s">
        <v>682</v>
      </c>
      <c r="C818" s="13">
        <f aca="true" t="shared" si="66" ref="C818:H818">+C10+C28+C74+C99+C125+C151+C175+C198+C217+C253+C302+C336+C367+C386+C406+C427+C469+C509+C522+C542+C571+C600+C620</f>
        <v>5272823.305</v>
      </c>
      <c r="D818" s="13">
        <f t="shared" si="66"/>
        <v>5035290.655</v>
      </c>
      <c r="E818" s="13">
        <f t="shared" si="66"/>
        <v>5324004.863000001</v>
      </c>
      <c r="F818" s="13">
        <f t="shared" si="66"/>
        <v>5366155.16675</v>
      </c>
      <c r="G818" s="13">
        <f t="shared" si="66"/>
        <v>330864.51174999995</v>
      </c>
      <c r="H818" s="13" t="e">
        <f t="shared" si="66"/>
        <v>#DIV/0!</v>
      </c>
    </row>
    <row r="819" spans="2:9" ht="12.75">
      <c r="B819" t="s">
        <v>683</v>
      </c>
      <c r="C819" s="13">
        <f>+C13+C17+C36+C39+C44+C57+C60+C78+C81+C85+C106+C110+C114+C131+C134+C139+C157+C160+C164+C184+C187+C191+C201+C204+C207+C220+C223+C270+C276+C281+C316+C321+C325+C340+C346+C349+C371+C375+C379+C392+C396+C399+C410+C414+C417+C430+C434+C437+C483+C494+C498+C514+C529+C533+C549+C553+C557+C582+C586+C590+C603+C607+C628+C631+C635</f>
        <v>1706132</v>
      </c>
      <c r="D819" s="13">
        <f>+D13+D17+D36+D39+D44+D57+D60+D78+D81+D85+D106+D110+D114+D131+D134+D139+D157+D160+D164+D184+D187+D191+D201+D204+D207+D220+D223+D270+D276+D281+D316+D321+D325+D340+D346+D371+D375+D379+D392+D396+D399+D410+D414+D417+D430+D434+D437+D483+D494+D498+D514+D529+D533+D549+D553+D557+D582+D586+D590+D603+D607+D628+D631+D635</f>
        <v>1561292</v>
      </c>
      <c r="E819" s="13">
        <f>+E13+E17+E36+E39+E44+E57+E60+E78+E81+E85+E106+E110+E114+E131+E134+E139+E157+E160+E164+E184+E187+E191+E201+E204+E207+E220+E223+E270+E276+E281+E316+E321+E325+E340+E346+E371+E375+E379+E392+E396+E399+E410+E414+E417+E430+E434+E437+E483+E494+E498+E514+E529+E533+E549+E553+E557+E582+E586+E590+E603+E607+E628+E631+E635</f>
        <v>1772982</v>
      </c>
      <c r="F819" s="13">
        <f>+F13+F17+F36+F39+F44+F57+F60+F78+F81+F85+F106+F110+F114+F131+F134+F139+F157+F160+F164+F184+F187+F191+F201+F204+F207+F220+F223+F270+F276+F281+F316+F321+F325+F340+F346+F371+F375+F379+F392+F396+F399+F410+F414+F417+F430+F434+F437+F483+F494+F498+F514+F529+F533+F549+F553+F557+F582+F586+F590+F603+F607+F628+F631+F635</f>
        <v>1594222</v>
      </c>
      <c r="G819" s="13">
        <f>+G13+G17+G36+G39+G44+G57+G60+G78+G81+G85+G106+G110+G114+G131+G134+G139+G157+G160+G164+G184+G187+G191+G201+G204+G207+G220+G223+G270+G276+G281+G316+G321+G325+G340+G346+G371+G375+G379+G392+G396+G399+G410+G414+G417+G430+G434+G437+G483+G494+G498+G514+G529+G533+G549+G553+G557+G582+G586+G590+G603+G607+G628+G631+G635</f>
        <v>30180</v>
      </c>
      <c r="H819" s="13" t="e">
        <f>+H13+H17+H36+H39+H44+H57+H60+H78+H81+H85+H106+H110+H114+H131+H134+H139+H157+H160+H164+H184+H187+H191+H204+H207+H220+H223+H270+H276+H281+H316+H321+H325+H340+H346+H349+H371+H375+H379+H392+H396+H399+H410+H414+H417+H430+H434+H437+H483+H494+H498+H514+H529+H533+H549+H553+H557+H582+H586+H590+H603+H607+H628+H631+H635</f>
        <v>#DIV/0!</v>
      </c>
      <c r="I819" s="13" t="e">
        <f>#REF!-D819</f>
        <v>#REF!</v>
      </c>
    </row>
    <row r="820" spans="2:8" ht="12.75">
      <c r="B820" t="s">
        <v>684</v>
      </c>
      <c r="C820" s="13">
        <f>C63+C284+C328+C502+C593+C419</f>
        <v>199289</v>
      </c>
      <c r="D820" s="13">
        <f>D63+D284+D328+D502+D593+D419</f>
        <v>105488</v>
      </c>
      <c r="E820" s="13">
        <f>E63+E284+E328+E502+E593+E419</f>
        <v>103678</v>
      </c>
      <c r="F820" s="13">
        <f>F63+F284+F328+F502+F593+F419</f>
        <v>67818</v>
      </c>
      <c r="G820" s="13">
        <f>G63+G284+G328+G349+G420+G502+G593</f>
        <v>-37670</v>
      </c>
      <c r="H820" s="13" t="e">
        <f>H63+H284+H328+H502+H593</f>
        <v>#DIV/0!</v>
      </c>
    </row>
    <row r="821" spans="2:8" ht="12.75">
      <c r="B821" t="s">
        <v>554</v>
      </c>
      <c r="C821" s="13">
        <f aca="true" t="shared" si="67" ref="C821:H821">+C19+C46+C65+C87+C116+C141+C166+C193+C209+C225+C504+C516+C535+C559+C595+C609++C637+C650+C651+C652+C658+C660</f>
        <v>3225036.3049999997</v>
      </c>
      <c r="D821" s="13">
        <f t="shared" si="67"/>
        <v>3108817.1799999997</v>
      </c>
      <c r="E821" s="13">
        <f t="shared" si="67"/>
        <v>3414444.8629999994</v>
      </c>
      <c r="F821" s="13">
        <f t="shared" si="67"/>
        <v>3220212.9</v>
      </c>
      <c r="G821" s="13">
        <f t="shared" si="67"/>
        <v>108645.72</v>
      </c>
      <c r="H821" s="13" t="e">
        <f t="shared" si="67"/>
        <v>#DIV/0!</v>
      </c>
    </row>
    <row r="822" spans="2:8" ht="12.75">
      <c r="B822" t="s">
        <v>685</v>
      </c>
      <c r="C822" s="13">
        <f aca="true" t="shared" si="68" ref="C822:H822">C286+C330+C351+C381+C401+C422+C439</f>
        <v>4078208</v>
      </c>
      <c r="D822" s="13">
        <f t="shared" si="68"/>
        <v>3742253.475</v>
      </c>
      <c r="E822" s="13">
        <f t="shared" si="68"/>
        <v>3946220</v>
      </c>
      <c r="F822" s="13">
        <f t="shared" si="68"/>
        <v>3932982.26675</v>
      </c>
      <c r="G822" s="13">
        <f t="shared" si="68"/>
        <v>190728.79174999995</v>
      </c>
      <c r="H822" s="13" t="e">
        <f t="shared" si="68"/>
        <v>#DIV/0!</v>
      </c>
    </row>
    <row r="823" spans="2:8" ht="12.75">
      <c r="B823" t="s">
        <v>686</v>
      </c>
      <c r="C823" s="13">
        <f>C444+C448+C452</f>
        <v>10275629.5</v>
      </c>
      <c r="D823" s="13">
        <f>D444+D448+D452</f>
        <v>10149988</v>
      </c>
      <c r="E823" s="13">
        <f>E444+E448+E452</f>
        <v>10655793</v>
      </c>
      <c r="F823" s="13">
        <f>F444+F448+F452</f>
        <v>10563322</v>
      </c>
      <c r="G823" s="13">
        <f>G444+G452</f>
        <v>320846</v>
      </c>
      <c r="H823" s="13" t="e">
        <f>H444+H452</f>
        <v>#DIV/0!</v>
      </c>
    </row>
    <row r="824" spans="2:8" ht="12.75">
      <c r="B824" t="s">
        <v>687</v>
      </c>
      <c r="C824" s="13">
        <f aca="true" t="shared" si="69" ref="C824:H824">C649</f>
        <v>935078</v>
      </c>
      <c r="D824" s="13">
        <f t="shared" si="69"/>
        <v>935078</v>
      </c>
      <c r="E824" s="13">
        <f t="shared" si="69"/>
        <v>1026020</v>
      </c>
      <c r="F824" s="13">
        <f>F649</f>
        <v>1006468</v>
      </c>
      <c r="G824" s="13">
        <f t="shared" si="69"/>
        <v>71390</v>
      </c>
      <c r="H824" s="13">
        <f t="shared" si="69"/>
        <v>0.0763465721576168</v>
      </c>
    </row>
    <row r="825" spans="2:8" ht="12.75">
      <c r="B825" t="s">
        <v>666</v>
      </c>
      <c r="C825" s="13">
        <f aca="true" t="shared" si="70" ref="C825:H825">C655+C656+C654+C653+C657</f>
        <v>1321130.32</v>
      </c>
      <c r="D825" s="13">
        <f t="shared" si="70"/>
        <v>1226000</v>
      </c>
      <c r="E825" s="13">
        <f>E655+E656+E654+E653+E657</f>
        <v>1333232</v>
      </c>
      <c r="F825" s="13">
        <f>F655+F656+F654+F653+F657</f>
        <v>1256000</v>
      </c>
      <c r="G825" s="13">
        <f t="shared" si="70"/>
        <v>30000</v>
      </c>
      <c r="H825" s="13" t="e">
        <f t="shared" si="70"/>
        <v>#DIV/0!</v>
      </c>
    </row>
    <row r="826" spans="2:8" ht="12.75">
      <c r="B826" t="s">
        <v>491</v>
      </c>
      <c r="C826" s="13">
        <f aca="true" t="shared" si="71" ref="C826:H826">C646</f>
        <v>965306</v>
      </c>
      <c r="D826" s="13">
        <f t="shared" si="71"/>
        <v>965306</v>
      </c>
      <c r="E826" s="13">
        <f>E646</f>
        <v>919124</v>
      </c>
      <c r="F826" s="13">
        <f>F646</f>
        <v>919124</v>
      </c>
      <c r="G826" s="13">
        <f t="shared" si="71"/>
        <v>-46182</v>
      </c>
      <c r="H826" s="13">
        <f t="shared" si="71"/>
        <v>-0.04784182425054853</v>
      </c>
    </row>
    <row r="827" spans="3:8" ht="12.75">
      <c r="C827" s="41">
        <f aca="true" t="shared" si="72" ref="C827:H827">SUM(C821:C826)</f>
        <v>20800388.125</v>
      </c>
      <c r="D827" s="41">
        <f t="shared" si="72"/>
        <v>20127442.655</v>
      </c>
      <c r="E827" s="41">
        <f>SUM(E821:E826)</f>
        <v>21294833.862999998</v>
      </c>
      <c r="F827" s="41">
        <f>SUM(F821:F826)</f>
        <v>20898109.16675</v>
      </c>
      <c r="G827" s="41">
        <f t="shared" si="72"/>
        <v>675428.51175</v>
      </c>
      <c r="H827" s="41" t="e">
        <f t="shared" si="72"/>
        <v>#DIV/0!</v>
      </c>
    </row>
    <row r="828" spans="3:8" ht="12.75">
      <c r="C828" s="13">
        <f aca="true" t="shared" si="73" ref="C828:H828">C663</f>
        <v>20800388.125</v>
      </c>
      <c r="D828" s="13">
        <f t="shared" si="73"/>
        <v>20127442.655</v>
      </c>
      <c r="E828" s="13">
        <f>E663</f>
        <v>21294833.863</v>
      </c>
      <c r="F828" s="13">
        <f>F663</f>
        <v>20898109.16675</v>
      </c>
      <c r="G828" s="13">
        <f t="shared" si="73"/>
        <v>767916.51175</v>
      </c>
      <c r="H828" s="13">
        <f t="shared" si="73"/>
        <v>0.038152711445397475</v>
      </c>
    </row>
    <row r="829" spans="3:8" ht="12.75">
      <c r="C829" s="13">
        <f aca="true" t="shared" si="74" ref="C829:H829">C663-C827</f>
        <v>0</v>
      </c>
      <c r="D829" s="13">
        <f t="shared" si="74"/>
        <v>0</v>
      </c>
      <c r="E829" s="13">
        <f>E663-E827</f>
        <v>0</v>
      </c>
      <c r="F829" s="13">
        <f>F663-F827</f>
        <v>0</v>
      </c>
      <c r="G829" s="13">
        <f t="shared" si="74"/>
        <v>92488</v>
      </c>
      <c r="H829" s="13" t="e">
        <f t="shared" si="74"/>
        <v>#DIV/0!</v>
      </c>
    </row>
    <row r="832" ht="12.75">
      <c r="B832" t="s">
        <v>688</v>
      </c>
    </row>
    <row r="833" ht="12.75">
      <c r="B833" t="s">
        <v>385</v>
      </c>
    </row>
    <row r="834" ht="12.75">
      <c r="B834" t="s">
        <v>106</v>
      </c>
    </row>
    <row r="835" ht="12.75">
      <c r="B835" t="s">
        <v>530</v>
      </c>
    </row>
    <row r="836" ht="12.75">
      <c r="B836" t="s">
        <v>531</v>
      </c>
    </row>
    <row r="837" ht="12.75">
      <c r="B837" t="s">
        <v>532</v>
      </c>
    </row>
    <row r="838" ht="12.75">
      <c r="B838" s="8" t="s">
        <v>689</v>
      </c>
    </row>
    <row r="840" ht="12.75">
      <c r="B840" t="s">
        <v>689</v>
      </c>
    </row>
    <row r="855" spans="2:6" ht="12.75" hidden="1">
      <c r="B855" t="s">
        <v>554</v>
      </c>
      <c r="C855" s="13">
        <f>C19+C46+C65+C87+C116+C141+C166+C193+C209+C225</f>
        <v>1369096.305</v>
      </c>
      <c r="D855" s="13">
        <f>D19+D46+D65+D87+D116+D141+D166+D193+D209+D225</f>
        <v>1298440.18</v>
      </c>
      <c r="E855" s="13"/>
      <c r="F855" s="13"/>
    </row>
    <row r="856" spans="2:6" ht="12.75" hidden="1">
      <c r="B856" t="s">
        <v>685</v>
      </c>
      <c r="C856" s="13">
        <f>C286+C330+C351+C381+C401+C422</f>
        <v>4078208</v>
      </c>
      <c r="D856" s="13">
        <f>D286+D330+D351+D381+D401+D422</f>
        <v>3742253.475</v>
      </c>
      <c r="E856" s="13"/>
      <c r="F856" s="13"/>
    </row>
    <row r="857" spans="2:6" ht="12.75" hidden="1">
      <c r="B857" t="s">
        <v>358</v>
      </c>
      <c r="C857" s="13">
        <f>C454</f>
        <v>10275629.5</v>
      </c>
      <c r="D857" s="13">
        <f>D454</f>
        <v>10149988</v>
      </c>
      <c r="E857" s="13"/>
      <c r="F857" s="13"/>
    </row>
    <row r="858" spans="2:6" ht="12.75" hidden="1">
      <c r="B858" t="s">
        <v>690</v>
      </c>
      <c r="C858" s="13">
        <f>C504+C516+C535</f>
        <v>1095254</v>
      </c>
      <c r="D858" s="13">
        <f>D504+D516+D535</f>
        <v>1062947</v>
      </c>
      <c r="E858" s="13"/>
      <c r="F858" s="13"/>
    </row>
    <row r="859" spans="2:6" ht="12.75" hidden="1">
      <c r="B859" t="s">
        <v>691</v>
      </c>
      <c r="C859" s="13">
        <f>C559+C595+C609</f>
        <v>441838</v>
      </c>
      <c r="D859" s="13">
        <f>D559+D595+D609</f>
        <v>404582</v>
      </c>
      <c r="E859" s="13"/>
      <c r="F859" s="13"/>
    </row>
    <row r="860" spans="2:6" ht="12.75" hidden="1">
      <c r="B860" t="s">
        <v>692</v>
      </c>
      <c r="C860" s="13">
        <f>C637</f>
        <v>193848</v>
      </c>
      <c r="D860" s="13">
        <f>D637</f>
        <v>193848</v>
      </c>
      <c r="E860" s="13"/>
      <c r="F860" s="13"/>
    </row>
    <row r="861" spans="2:6" ht="12.75" hidden="1">
      <c r="B861" t="s">
        <v>491</v>
      </c>
      <c r="C861" s="13">
        <f>C646</f>
        <v>965306</v>
      </c>
      <c r="D861" s="13">
        <f>D646</f>
        <v>965306</v>
      </c>
      <c r="E861" s="13"/>
      <c r="F861" s="13"/>
    </row>
    <row r="862" spans="2:6" ht="12.75" hidden="1">
      <c r="B862" s="20" t="s">
        <v>693</v>
      </c>
      <c r="C862" s="13">
        <f>C661</f>
        <v>2381208.3200000003</v>
      </c>
      <c r="D862" s="13">
        <f>D661</f>
        <v>2310078</v>
      </c>
      <c r="E862" s="13"/>
      <c r="F862" s="13"/>
    </row>
    <row r="863" spans="2:6" ht="12.75" hidden="1">
      <c r="B863" t="s">
        <v>694</v>
      </c>
      <c r="C863" s="13">
        <f>C671</f>
        <v>316190</v>
      </c>
      <c r="D863" s="13">
        <f>D671</f>
        <v>310449</v>
      </c>
      <c r="E863" s="13"/>
      <c r="F863" s="13"/>
    </row>
    <row r="864" spans="2:6" ht="12.75" hidden="1">
      <c r="B864" s="8" t="s">
        <v>695</v>
      </c>
      <c r="C864" s="43">
        <f>SUM(C855:C863)</f>
        <v>21116578.125</v>
      </c>
      <c r="D864" s="43">
        <f>SUM(D855:D863)</f>
        <v>20437891.655</v>
      </c>
      <c r="E864" s="43"/>
      <c r="F864" s="43"/>
    </row>
    <row r="865" ht="12.75" hidden="1">
      <c r="B865" t="s">
        <v>530</v>
      </c>
    </row>
    <row r="866" spans="2:6" ht="12.75" hidden="1">
      <c r="B866" t="s">
        <v>531</v>
      </c>
      <c r="C866" s="13">
        <v>19211104</v>
      </c>
      <c r="D866" s="13">
        <v>19211104</v>
      </c>
      <c r="E866" s="13"/>
      <c r="F866" s="13"/>
    </row>
    <row r="867" spans="2:6" ht="12.75" hidden="1">
      <c r="B867" t="s">
        <v>532</v>
      </c>
      <c r="C867" s="13">
        <f>C864-C866</f>
        <v>1905474.125</v>
      </c>
      <c r="D867" s="13">
        <f>D864-D866</f>
        <v>1226787.6550000012</v>
      </c>
      <c r="E867" s="13"/>
      <c r="F867" s="13"/>
    </row>
    <row r="868" ht="12.75" hidden="1">
      <c r="B868" s="8" t="s">
        <v>696</v>
      </c>
    </row>
  </sheetData>
  <sheetProtection/>
  <printOptions/>
  <pageMargins left="0.34" right="0" top="0.88" bottom="0.18" header="0" footer="0.17"/>
  <pageSetup horizontalDpi="600" verticalDpi="600" orientation="landscape" scale="85" r:id="rId1"/>
  <headerFooter alignWithMargins="0">
    <oddHeader>&amp;C&amp;"Arial,Bold"&amp;14Town of Salisbury
Proposed General Fund Budget
FY 2015
&amp;"Arial,Regular"&amp;10
</oddHeader>
    <oddFooter>&amp;C&amp;P&amp;R&amp;D &amp;T</oddFooter>
  </headerFooter>
  <rowBreaks count="3" manualBreakCount="3">
    <brk id="141" min="1" max="7" man="1"/>
    <brk id="286" min="1" max="11" man="1"/>
    <brk id="74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Salisbury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Christine Lindberg</cp:lastModifiedBy>
  <dcterms:created xsi:type="dcterms:W3CDTF">2014-05-19T15:06:09Z</dcterms:created>
  <dcterms:modified xsi:type="dcterms:W3CDTF">2015-02-02T20:05:26Z</dcterms:modified>
  <cp:category/>
  <cp:version/>
  <cp:contentType/>
  <cp:contentStatus/>
</cp:coreProperties>
</file>