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Warrant 10-28-13" sheetId="1" r:id="rId1"/>
  </sheets>
  <definedNames>
    <definedName name="_xlnm.Print_Area" localSheetId="0">'Warrant 10-28-13'!$B$1:$R$669</definedName>
    <definedName name="_xlnm.Print_Titles" localSheetId="0">'Warrant 10-28-13'!$1:$4</definedName>
  </definedNames>
  <calcPr fullCalcOnLoad="1"/>
</workbook>
</file>

<file path=xl/sharedStrings.xml><?xml version="1.0" encoding="utf-8"?>
<sst xmlns="http://schemas.openxmlformats.org/spreadsheetml/2006/main" count="1086" uniqueCount="699">
  <si>
    <t>Adopted</t>
  </si>
  <si>
    <t>Dept. Heads</t>
  </si>
  <si>
    <t>Town Manager</t>
  </si>
  <si>
    <t>Revised</t>
  </si>
  <si>
    <t>Town Mgr</t>
  </si>
  <si>
    <t>Proposed</t>
  </si>
  <si>
    <t>FY 2014</t>
  </si>
  <si>
    <t>FY 2014 %</t>
  </si>
  <si>
    <t>Current Year</t>
  </si>
  <si>
    <t>Increase/</t>
  </si>
  <si>
    <t>Account Name</t>
  </si>
  <si>
    <t>Budgeted</t>
  </si>
  <si>
    <t>Budget</t>
  </si>
  <si>
    <t>Adjustments</t>
  </si>
  <si>
    <t>Reductions</t>
  </si>
  <si>
    <t>(Decrease)</t>
  </si>
  <si>
    <t>Board of Selectmen</t>
  </si>
  <si>
    <t>0100-122-5111</t>
  </si>
  <si>
    <t>Selectmens' Salaries</t>
  </si>
  <si>
    <t>Town Moderator Salary</t>
  </si>
  <si>
    <t>Total Salaries</t>
  </si>
  <si>
    <t>0100-122-5201</t>
  </si>
  <si>
    <t>Financial Audit</t>
  </si>
  <si>
    <t>Total Purchase of Services</t>
  </si>
  <si>
    <t>0100-122-5730</t>
  </si>
  <si>
    <t>Travel/Prof. Development</t>
  </si>
  <si>
    <t>Finance Reserve Fund</t>
  </si>
  <si>
    <t>Total Other Charges &amp; Expenses</t>
  </si>
  <si>
    <t>Total Board of Selectmen</t>
  </si>
  <si>
    <t>0100-123-5111</t>
  </si>
  <si>
    <t>Town Manager Salary</t>
  </si>
  <si>
    <t>0100-123-5112</t>
  </si>
  <si>
    <t>Town Manager Secretary</t>
  </si>
  <si>
    <t>0100-123-5113</t>
  </si>
  <si>
    <t>Personnel Director</t>
  </si>
  <si>
    <t>0100-123-5114</t>
  </si>
  <si>
    <t>Part-Time Secretary</t>
  </si>
  <si>
    <t>0100-123-5125</t>
  </si>
  <si>
    <t>Town Hall Custodian</t>
  </si>
  <si>
    <t>Longevity</t>
  </si>
  <si>
    <t>0100-123-5202</t>
  </si>
  <si>
    <t>Equipment Lease/Rental</t>
  </si>
  <si>
    <t>0100-123-5210</t>
  </si>
  <si>
    <t>Legal Services</t>
  </si>
  <si>
    <t>0100-123-5230</t>
  </si>
  <si>
    <t>Consulting Fee</t>
  </si>
  <si>
    <t>Special Events</t>
  </si>
  <si>
    <t>0100-123-5250</t>
  </si>
  <si>
    <t>Postage</t>
  </si>
  <si>
    <t>0100-123-5270</t>
  </si>
  <si>
    <t>Telephone</t>
  </si>
  <si>
    <t>0100-123-5420</t>
  </si>
  <si>
    <t>Office Supplies</t>
  </si>
  <si>
    <t>Total Supplies</t>
  </si>
  <si>
    <t>0100-123-5730</t>
  </si>
  <si>
    <t>Dues &amp; Subscriptions</t>
  </si>
  <si>
    <t>Total Town Manager</t>
  </si>
  <si>
    <t>Central Services</t>
  </si>
  <si>
    <t>Equipment Repair &amp; Maint</t>
  </si>
  <si>
    <t>Computer Hardware</t>
  </si>
  <si>
    <t>Advertising</t>
  </si>
  <si>
    <t>0100-124-5275</t>
  </si>
  <si>
    <t>Other</t>
  </si>
  <si>
    <t>0100-124-5420</t>
  </si>
  <si>
    <t>Computer Supplies</t>
  </si>
  <si>
    <t>0100-124-5810</t>
  </si>
  <si>
    <t>Capital Improvement-Computers</t>
  </si>
  <si>
    <t>Total Capital Outlay</t>
  </si>
  <si>
    <t>Total Central Services</t>
  </si>
  <si>
    <t>Finance Director</t>
  </si>
  <si>
    <t>0100-135-5111</t>
  </si>
  <si>
    <t>Finance Director Salary</t>
  </si>
  <si>
    <t>0100-135-5112</t>
  </si>
  <si>
    <t>Secretary</t>
  </si>
  <si>
    <t>0100-135-5113</t>
  </si>
  <si>
    <t>Assistant Town Accountant</t>
  </si>
  <si>
    <t>Education Incentive</t>
  </si>
  <si>
    <t>Certification Stipend</t>
  </si>
  <si>
    <t>Software Maintenance</t>
  </si>
  <si>
    <t>0100-135-5275</t>
  </si>
  <si>
    <t>Payroll Processing</t>
  </si>
  <si>
    <t>0100-135-5420</t>
  </si>
  <si>
    <t>0100-135-5730</t>
  </si>
  <si>
    <t>Dues &amp; Subscriptioins</t>
  </si>
  <si>
    <t>Total Finance Director</t>
  </si>
  <si>
    <t>Assessors' Office</t>
  </si>
  <si>
    <t>0100-141-5111</t>
  </si>
  <si>
    <t>Chief Assessor</t>
  </si>
  <si>
    <t>0100-141-5112</t>
  </si>
  <si>
    <t>Field Assessor</t>
  </si>
  <si>
    <t>0100-141-5113</t>
  </si>
  <si>
    <t>Assrs' Clerical &amp; Admin. Asst. Salary</t>
  </si>
  <si>
    <t>0100-141-5114</t>
  </si>
  <si>
    <t>Certified Assessor Stipend</t>
  </si>
  <si>
    <t>0100-141-5116</t>
  </si>
  <si>
    <t>Overtime</t>
  </si>
  <si>
    <t>0100-141-5117</t>
  </si>
  <si>
    <t>I.T. Stipend</t>
  </si>
  <si>
    <t>0100-141-5203</t>
  </si>
  <si>
    <t>Revaluation</t>
  </si>
  <si>
    <t>0100-141-5280</t>
  </si>
  <si>
    <t>Assessors' Maps</t>
  </si>
  <si>
    <t>0100-141-5281</t>
  </si>
  <si>
    <t>Tax Bills</t>
  </si>
  <si>
    <t>0100-141-5283</t>
  </si>
  <si>
    <t>Registry of Deeds</t>
  </si>
  <si>
    <t>0100-141-5420</t>
  </si>
  <si>
    <t>Fuel</t>
  </si>
  <si>
    <t>0100-141-5730</t>
  </si>
  <si>
    <t>Total Assessors' Office</t>
  </si>
  <si>
    <t>Treasurer's Office</t>
  </si>
  <si>
    <t>0100-145-5111</t>
  </si>
  <si>
    <t>Treasurer/Collector Salary</t>
  </si>
  <si>
    <t>0100-145-5113</t>
  </si>
  <si>
    <t>Assistant Collector</t>
  </si>
  <si>
    <t>Clerical</t>
  </si>
  <si>
    <t>0100-145-5117</t>
  </si>
  <si>
    <t>Certified Treasurer Stipend</t>
  </si>
  <si>
    <t>0100-145-5151</t>
  </si>
  <si>
    <t>0100-145-5281</t>
  </si>
  <si>
    <t>0100-145-5285</t>
  </si>
  <si>
    <t>Lock Box</t>
  </si>
  <si>
    <t>0100-145-5286</t>
  </si>
  <si>
    <t>Tax Title</t>
  </si>
  <si>
    <t>0100-145-5420</t>
  </si>
  <si>
    <t>0100-145-5730</t>
  </si>
  <si>
    <t>0100-145-5780</t>
  </si>
  <si>
    <t>Administrative Fees - Borrowing</t>
  </si>
  <si>
    <t>Total Treasurer's Office</t>
  </si>
  <si>
    <t>Planning</t>
  </si>
  <si>
    <t>Economic Dev Director</t>
  </si>
  <si>
    <t>0100-150-5111</t>
  </si>
  <si>
    <t>Town Planner</t>
  </si>
  <si>
    <t>0100-150-5112</t>
  </si>
  <si>
    <t xml:space="preserve">Assistant Planner </t>
  </si>
  <si>
    <t>0100-150-5113</t>
  </si>
  <si>
    <t>53rd Week Salaries</t>
  </si>
  <si>
    <t>Planning Board Secretary</t>
  </si>
  <si>
    <t>0100-150-5115</t>
  </si>
  <si>
    <t>Educational Bonus</t>
  </si>
  <si>
    <t xml:space="preserve">Longevity </t>
  </si>
  <si>
    <t>Consulting</t>
  </si>
  <si>
    <t>0100-150-5250</t>
  </si>
  <si>
    <t>MVPC Assessment</t>
  </si>
  <si>
    <t>0100-150-5730</t>
  </si>
  <si>
    <t>Total Planning Dept.</t>
  </si>
  <si>
    <t>Town Clerk</t>
  </si>
  <si>
    <t>0100-161-5111</t>
  </si>
  <si>
    <t>Town Clerk Salary</t>
  </si>
  <si>
    <t>0100-161-5112</t>
  </si>
  <si>
    <t>Parking Clerk</t>
  </si>
  <si>
    <t>Election/Registrar Salaries</t>
  </si>
  <si>
    <t>Stipend</t>
  </si>
  <si>
    <t>Equipment Repair &amp; Maint.</t>
  </si>
  <si>
    <t>0100-161-5251</t>
  </si>
  <si>
    <t>Parking Ticket Processing</t>
  </si>
  <si>
    <t>0100-161-5255</t>
  </si>
  <si>
    <t>Out of State Parking Tickets</t>
  </si>
  <si>
    <t>Ballots, Maint. Street List</t>
  </si>
  <si>
    <t>Bi-Law Codification</t>
  </si>
  <si>
    <t>Printing</t>
  </si>
  <si>
    <t>0100-161-5420</t>
  </si>
  <si>
    <t>0100-161-5730</t>
  </si>
  <si>
    <t>Total Town Clerk</t>
  </si>
  <si>
    <t>License Commission</t>
  </si>
  <si>
    <t>0100-165-5112</t>
  </si>
  <si>
    <t>Lic. Comm. Sec. &amp; Invest. Sal.</t>
  </si>
  <si>
    <t>Investigator Stipend</t>
  </si>
  <si>
    <t>0100-165-5420</t>
  </si>
  <si>
    <t>0100-165-5730</t>
  </si>
  <si>
    <t>Total License Commission</t>
  </si>
  <si>
    <t>Conservation Commission</t>
  </si>
  <si>
    <t>0100-171-5111</t>
  </si>
  <si>
    <t>Con. Comm. F.T. Agent</t>
  </si>
  <si>
    <t>0100-171-5112</t>
  </si>
  <si>
    <t>Conservation Comm. Sec. Salary</t>
  </si>
  <si>
    <t>0100-171-5420</t>
  </si>
  <si>
    <t>0100-171-5730</t>
  </si>
  <si>
    <t>Total Conservation Commission</t>
  </si>
  <si>
    <t>Police Department</t>
  </si>
  <si>
    <t>0100-210-5110</t>
  </si>
  <si>
    <t>Police Chief</t>
  </si>
  <si>
    <t>0100-210-5111</t>
  </si>
  <si>
    <t>Police Lieutenant</t>
  </si>
  <si>
    <t>Police Sergeants</t>
  </si>
  <si>
    <t>Detectives</t>
  </si>
  <si>
    <t>Inspector</t>
  </si>
  <si>
    <t>Police Investigator</t>
  </si>
  <si>
    <t>Patrolmen</t>
  </si>
  <si>
    <t>0100-210-5112</t>
  </si>
  <si>
    <t>Dispatch Supervisor/Coord</t>
  </si>
  <si>
    <t>0100-210-5113</t>
  </si>
  <si>
    <t>Police Dispatchers</t>
  </si>
  <si>
    <t>0100-210-5114</t>
  </si>
  <si>
    <t>Police Extra Duty</t>
  </si>
  <si>
    <t>0100-210-5117</t>
  </si>
  <si>
    <t>Admin Assistant</t>
  </si>
  <si>
    <t>Custodian</t>
  </si>
  <si>
    <t>0100-210-5119</t>
  </si>
  <si>
    <t>Police Overtime/Court/</t>
  </si>
  <si>
    <t>0100-210-5120</t>
  </si>
  <si>
    <t>Meter Enforcement</t>
  </si>
  <si>
    <t>0100-210-5121</t>
  </si>
  <si>
    <t>Officer in Charge</t>
  </si>
  <si>
    <t>0100-210-5122</t>
  </si>
  <si>
    <t>Education Incentive (Quinn Bill)</t>
  </si>
  <si>
    <t>0100-210-5151</t>
  </si>
  <si>
    <t>Police Sick Leave</t>
  </si>
  <si>
    <t>0100-210-5152</t>
  </si>
  <si>
    <t>Police Physical Fitness</t>
  </si>
  <si>
    <t>0100-210-5153</t>
  </si>
  <si>
    <t>Police Holiday</t>
  </si>
  <si>
    <t>0100-210-5154</t>
  </si>
  <si>
    <t>Police Longevity</t>
  </si>
  <si>
    <t>0100-210-5156</t>
  </si>
  <si>
    <t>Police Uniforms</t>
  </si>
  <si>
    <t>0100-210-5164</t>
  </si>
  <si>
    <t>Police Court Pay</t>
  </si>
  <si>
    <t>0100-210-5165</t>
  </si>
  <si>
    <t>Police Night Differential</t>
  </si>
  <si>
    <t>0100-210-5166</t>
  </si>
  <si>
    <t>Police Schooling</t>
  </si>
  <si>
    <t>Vacation Replacement</t>
  </si>
  <si>
    <t>0100-210-5210</t>
  </si>
  <si>
    <t>Electrical</t>
  </si>
  <si>
    <t>0100-210-5211</t>
  </si>
  <si>
    <t>Gas</t>
  </si>
  <si>
    <t>0100-210-5241</t>
  </si>
  <si>
    <t>Vehicle Repair &amp; Maint</t>
  </si>
  <si>
    <t>0100-210-5242</t>
  </si>
  <si>
    <t>Building Repair &amp; Maint</t>
  </si>
  <si>
    <t>Software/Maintenance</t>
  </si>
  <si>
    <t>0100-210-5286</t>
  </si>
  <si>
    <t>Office Equipment</t>
  </si>
  <si>
    <t>0100-210-5287</t>
  </si>
  <si>
    <t>Employee Training</t>
  </si>
  <si>
    <t>0100-210-5288</t>
  </si>
  <si>
    <t>Medical Equipment</t>
  </si>
  <si>
    <t>0100-210-5291</t>
  </si>
  <si>
    <t>Computer/Leaps/NCIC</t>
  </si>
  <si>
    <t>0100-210-5292</t>
  </si>
  <si>
    <t>Physical/Psychological Exams</t>
  </si>
  <si>
    <t>0100-210-5293</t>
  </si>
  <si>
    <t>Meter Purchase &amp; Repair</t>
  </si>
  <si>
    <t>0100-210-5299</t>
  </si>
  <si>
    <t>0100-210-5420</t>
  </si>
  <si>
    <t>0100-210-5430</t>
  </si>
  <si>
    <t>Building Supplies</t>
  </si>
  <si>
    <t>0100-210-5480</t>
  </si>
  <si>
    <t>0100-210-5499</t>
  </si>
  <si>
    <t>0100-210-5730</t>
  </si>
  <si>
    <t>Police Cruisers</t>
  </si>
  <si>
    <t>Total Capital Items</t>
  </si>
  <si>
    <t>Total Police Department</t>
  </si>
  <si>
    <t>Fire Department</t>
  </si>
  <si>
    <t>0100-220-5111</t>
  </si>
  <si>
    <t>Fire Chief</t>
  </si>
  <si>
    <t>0100-220-5118</t>
  </si>
  <si>
    <t>Fire Fighters/Permanent</t>
  </si>
  <si>
    <t>0100-220-5119</t>
  </si>
  <si>
    <t>Call Fire Fighters</t>
  </si>
  <si>
    <t>Call Dispatchers</t>
  </si>
  <si>
    <t>Fire Dispatcher</t>
  </si>
  <si>
    <t>0100-220-5120</t>
  </si>
  <si>
    <t>Fire Extra Duty</t>
  </si>
  <si>
    <t>0100-220-5130</t>
  </si>
  <si>
    <t>Fire Overtime</t>
  </si>
  <si>
    <t>0100-220-5151</t>
  </si>
  <si>
    <t>Fire Sick Leave</t>
  </si>
  <si>
    <t>0100-220-5153</t>
  </si>
  <si>
    <t>Fire Holiday Pay</t>
  </si>
  <si>
    <t>0100-220-5154</t>
  </si>
  <si>
    <t>Fire Longevity</t>
  </si>
  <si>
    <t>0100-220-5155</t>
  </si>
  <si>
    <t>EMT Certification</t>
  </si>
  <si>
    <t>0100-220-5156</t>
  </si>
  <si>
    <t>Fire Uniform Allowance</t>
  </si>
  <si>
    <t>0100-220-5210</t>
  </si>
  <si>
    <t>Electricity</t>
  </si>
  <si>
    <t>Natural Gas</t>
  </si>
  <si>
    <t>Heating Oil</t>
  </si>
  <si>
    <t>0100-220-5240</t>
  </si>
  <si>
    <t>Equip Repair &amp; Maintenance</t>
  </si>
  <si>
    <t>0100-220-5270</t>
  </si>
  <si>
    <t>Equip Lease/Rental</t>
  </si>
  <si>
    <t>0100-220-5287</t>
  </si>
  <si>
    <t>Training</t>
  </si>
  <si>
    <t>0100-220-5290</t>
  </si>
  <si>
    <t>Gear</t>
  </si>
  <si>
    <t>0100-220-5291</t>
  </si>
  <si>
    <t>SCBA</t>
  </si>
  <si>
    <t>0100-220-5420</t>
  </si>
  <si>
    <t>Office/Building</t>
  </si>
  <si>
    <t>0100-220-5430</t>
  </si>
  <si>
    <t>Equipment/Supplies</t>
  </si>
  <si>
    <t>0100-220-5491</t>
  </si>
  <si>
    <t>0100-220-5730</t>
  </si>
  <si>
    <t>Vehicles</t>
  </si>
  <si>
    <t>Total Fire Department</t>
  </si>
  <si>
    <t>Emergency Management</t>
  </si>
  <si>
    <t>Civil Defense Director</t>
  </si>
  <si>
    <t>Asst. Civil Defense Director</t>
  </si>
  <si>
    <t>Reverse 911</t>
  </si>
  <si>
    <t>Equipment Supplies</t>
  </si>
  <si>
    <t>Food</t>
  </si>
  <si>
    <t>Total Capital</t>
  </si>
  <si>
    <t>Total Emergency Management</t>
  </si>
  <si>
    <t>Inspectional Services</t>
  </si>
  <si>
    <t>0100-241-5111</t>
  </si>
  <si>
    <t>Building Inspector</t>
  </si>
  <si>
    <t>0100-241-5112</t>
  </si>
  <si>
    <t>Plumbing Insector</t>
  </si>
  <si>
    <t>Dep. Plumbing Ins.</t>
  </si>
  <si>
    <t>0100-241-5113</t>
  </si>
  <si>
    <t>Gas Inspector</t>
  </si>
  <si>
    <t>Dep. Gas Inspector</t>
  </si>
  <si>
    <t>0100-241-5116</t>
  </si>
  <si>
    <t>Wire Inspector</t>
  </si>
  <si>
    <t>Dep. Wire Inspector</t>
  </si>
  <si>
    <t>Alt Bldg Insp</t>
  </si>
  <si>
    <t>Building Insp. Admin Asst</t>
  </si>
  <si>
    <t>Appeals Board Secretary Salary</t>
  </si>
  <si>
    <t>0100-241-5211</t>
  </si>
  <si>
    <t>Sealer Weights &amp; Measures</t>
  </si>
  <si>
    <t>0100-241-5250</t>
  </si>
  <si>
    <t>0100-241-5420</t>
  </si>
  <si>
    <t>0100-241-5730</t>
  </si>
  <si>
    <t>Total Building Inspector</t>
  </si>
  <si>
    <t>Dog/Animal Control Officer</t>
  </si>
  <si>
    <t>0100-292-5111</t>
  </si>
  <si>
    <t>0100-292-5112</t>
  </si>
  <si>
    <t>Animal Inspector</t>
  </si>
  <si>
    <t>0100-292-5240</t>
  </si>
  <si>
    <t>Animal Care &amp; Custody</t>
  </si>
  <si>
    <t>After Hours Call Outs</t>
  </si>
  <si>
    <t>0100-292-5480</t>
  </si>
  <si>
    <t>Supplies</t>
  </si>
  <si>
    <t>0100-292-5730</t>
  </si>
  <si>
    <t>Total Dog/Animal Control Officer</t>
  </si>
  <si>
    <t>Harbormaster</t>
  </si>
  <si>
    <t>0100-295-5111</t>
  </si>
  <si>
    <t>Harbor Master</t>
  </si>
  <si>
    <t>0100-295-5112</t>
  </si>
  <si>
    <t>Assistant Harbor Master</t>
  </si>
  <si>
    <t>0100-295-5240</t>
  </si>
  <si>
    <t>Equip Repair &amp; Maint</t>
  </si>
  <si>
    <t>0100-295-5270</t>
  </si>
  <si>
    <t>0100-295-5420</t>
  </si>
  <si>
    <t>0100-295-5480</t>
  </si>
  <si>
    <t>0100-295-5730</t>
  </si>
  <si>
    <t>Boat</t>
  </si>
  <si>
    <t>Total Harbormaster</t>
  </si>
  <si>
    <t>Clam Flats</t>
  </si>
  <si>
    <t>Constable</t>
  </si>
  <si>
    <t>Assistant Constable</t>
  </si>
  <si>
    <t>Tel/Print/Postage</t>
  </si>
  <si>
    <t>Total Clam Flats</t>
  </si>
  <si>
    <t>Education</t>
  </si>
  <si>
    <t>0100-320-5650</t>
  </si>
  <si>
    <t>Triton Assessment</t>
  </si>
  <si>
    <t>Total Triton Assessment</t>
  </si>
  <si>
    <t>Whittier Assessment</t>
  </si>
  <si>
    <t>0100-330-5650</t>
  </si>
  <si>
    <t>Total Whittier Assessment</t>
  </si>
  <si>
    <t>Total Education</t>
  </si>
  <si>
    <t>Dept of Public Works</t>
  </si>
  <si>
    <t>Director Public Works</t>
  </si>
  <si>
    <t>Highway Personnel</t>
  </si>
  <si>
    <t>Business Manager</t>
  </si>
  <si>
    <t>Meals</t>
  </si>
  <si>
    <t>0100-413-5112</t>
  </si>
  <si>
    <t>Admin Assist</t>
  </si>
  <si>
    <t>0100-413-5131</t>
  </si>
  <si>
    <t>Stormwater</t>
  </si>
  <si>
    <t>0100-413-5133</t>
  </si>
  <si>
    <t>Highway Personnel Overtime</t>
  </si>
  <si>
    <t>0100-413-5134</t>
  </si>
  <si>
    <t>Snow Removal OT</t>
  </si>
  <si>
    <t>0100-413-5137</t>
  </si>
  <si>
    <t>Pagers</t>
  </si>
  <si>
    <t>Uniforms</t>
  </si>
  <si>
    <t>Engineering Services</t>
  </si>
  <si>
    <t>Electric</t>
  </si>
  <si>
    <t>Snow Removal</t>
  </si>
  <si>
    <t>Stormwater Management</t>
  </si>
  <si>
    <t>Parks &amp; Cemetery</t>
  </si>
  <si>
    <t>0100-413-5240</t>
  </si>
  <si>
    <t>0100-413-5252</t>
  </si>
  <si>
    <t>Emergency Repairs</t>
  </si>
  <si>
    <t>Salisbury Historical Society</t>
  </si>
  <si>
    <t>0100-413-5430</t>
  </si>
  <si>
    <t>Snow Removal Materials</t>
  </si>
  <si>
    <t>0100-413-5431</t>
  </si>
  <si>
    <t>Construction Materials</t>
  </si>
  <si>
    <t>0100-413-5432</t>
  </si>
  <si>
    <t>Parks/Cemeteries</t>
  </si>
  <si>
    <t>0100-413-5481</t>
  </si>
  <si>
    <t>Tree Maintenance/Stormwater</t>
  </si>
  <si>
    <t>0100-413-5482</t>
  </si>
  <si>
    <t>Protective Gear</t>
  </si>
  <si>
    <t>0100-412-5730</t>
  </si>
  <si>
    <t>0100-413-5850</t>
  </si>
  <si>
    <t>Equipment</t>
  </si>
  <si>
    <t>Total Public Works</t>
  </si>
  <si>
    <t>Town Landfill</t>
  </si>
  <si>
    <t>0100-434-5130</t>
  </si>
  <si>
    <t>Recycling Staff</t>
  </si>
  <si>
    <t>0100-434-5135</t>
  </si>
  <si>
    <t>Overtime Rubbish</t>
  </si>
  <si>
    <t>0100-434-5377</t>
  </si>
  <si>
    <t>Rubbish/Recycling</t>
  </si>
  <si>
    <t>Engineering</t>
  </si>
  <si>
    <t>0100-434-5379</t>
  </si>
  <si>
    <t>Total Engineering</t>
  </si>
  <si>
    <t>Total Town Landfill</t>
  </si>
  <si>
    <t>Beach Services</t>
  </si>
  <si>
    <t>Facilities Supervisor</t>
  </si>
  <si>
    <t>Facilities Attendants</t>
  </si>
  <si>
    <t>Overtime - Rubbish</t>
  </si>
  <si>
    <t>0100-481-5210</t>
  </si>
  <si>
    <t>0100-481-5240</t>
  </si>
  <si>
    <t>Building Repair &amp; Maintenance</t>
  </si>
  <si>
    <t>0100-481-5250</t>
  </si>
  <si>
    <t>Total Beach Services</t>
  </si>
  <si>
    <t>Board of Health</t>
  </si>
  <si>
    <t>0100-511-5111</t>
  </si>
  <si>
    <t>Health Agent</t>
  </si>
  <si>
    <t>0100-511-5112</t>
  </si>
  <si>
    <t>0100-511-5114</t>
  </si>
  <si>
    <t>Brd Health Secretary</t>
  </si>
  <si>
    <t>Vehicle Repairs &amp; Maintenance</t>
  </si>
  <si>
    <t>0100-511-5251</t>
  </si>
  <si>
    <t>Nursing Services</t>
  </si>
  <si>
    <t>0100-511-5252</t>
  </si>
  <si>
    <t>0100-511-5254</t>
  </si>
  <si>
    <t>0100-511-5257</t>
  </si>
  <si>
    <t>Mosquito Control</t>
  </si>
  <si>
    <t>0100-511-5420</t>
  </si>
  <si>
    <t>0100-511-5730</t>
  </si>
  <si>
    <t>Total Board of Health</t>
  </si>
  <si>
    <t>Council On Aging</t>
  </si>
  <si>
    <t>0100-541-5111</t>
  </si>
  <si>
    <t>COA Co-ordinator</t>
  </si>
  <si>
    <t>Program Manager</t>
  </si>
  <si>
    <t>0100-541-5113</t>
  </si>
  <si>
    <t>Van Driver &amp; Co-or.</t>
  </si>
  <si>
    <t>0100-541-5117</t>
  </si>
  <si>
    <t>Outreach Worker</t>
  </si>
  <si>
    <t>0100-541-5125</t>
  </si>
  <si>
    <t>Part-time Custodian</t>
  </si>
  <si>
    <t>Kitchen Manager</t>
  </si>
  <si>
    <t>0100-541-5210</t>
  </si>
  <si>
    <t>Van Maintenance</t>
  </si>
  <si>
    <t>Bldg Maintenance</t>
  </si>
  <si>
    <t>0100-541-5250</t>
  </si>
  <si>
    <t>Elder Services/Neet</t>
  </si>
  <si>
    <t>0100-541-5260</t>
  </si>
  <si>
    <t>0100-541-5299</t>
  </si>
  <si>
    <t>Programing Activities</t>
  </si>
  <si>
    <t>0100-541-5420</t>
  </si>
  <si>
    <t>0100-541-5730</t>
  </si>
  <si>
    <t>0100-541-5850</t>
  </si>
  <si>
    <t>Capital Outlay</t>
  </si>
  <si>
    <t>Total Council on Aging</t>
  </si>
  <si>
    <t>Veteran's Services</t>
  </si>
  <si>
    <t>0100-543-5111</t>
  </si>
  <si>
    <t>Veterans' Director</t>
  </si>
  <si>
    <t>0100-543-5112</t>
  </si>
  <si>
    <t>0100-543-5420</t>
  </si>
  <si>
    <t>Travel</t>
  </si>
  <si>
    <t>0100-543-5770</t>
  </si>
  <si>
    <t>Veterans' Benefits</t>
  </si>
  <si>
    <t>Total Veteran's Services</t>
  </si>
  <si>
    <t>Public Library</t>
  </si>
  <si>
    <t>0100-610-5111</t>
  </si>
  <si>
    <t>Library Director</t>
  </si>
  <si>
    <t>0100-610-5112</t>
  </si>
  <si>
    <t>Asst. Librarian</t>
  </si>
  <si>
    <t>0100-610-5113</t>
  </si>
  <si>
    <t>Children's Librarian</t>
  </si>
  <si>
    <t>0100-610-5114</t>
  </si>
  <si>
    <t>Circulation Librarian</t>
  </si>
  <si>
    <t>0100-610-5240</t>
  </si>
  <si>
    <t>0100-610-5260</t>
  </si>
  <si>
    <t>0100-610-5280</t>
  </si>
  <si>
    <t>Books/Material Ex.</t>
  </si>
  <si>
    <t>Total Purchases of Services</t>
  </si>
  <si>
    <t>0100-610-5420</t>
  </si>
  <si>
    <t>0100-610-5730</t>
  </si>
  <si>
    <t>Total Public Library</t>
  </si>
  <si>
    <t>Debt Service</t>
  </si>
  <si>
    <t>0100-710-5780</t>
  </si>
  <si>
    <t>0100-710-5781</t>
  </si>
  <si>
    <t>L-T-D Principal</t>
  </si>
  <si>
    <t>0100-710-5782</t>
  </si>
  <si>
    <t>L-T-D Interest</t>
  </si>
  <si>
    <t>L-T-D Schools</t>
  </si>
  <si>
    <t>0100-710-5784</t>
  </si>
  <si>
    <t>Town Hall Renovation</t>
  </si>
  <si>
    <t>0100-710-5785</t>
  </si>
  <si>
    <t>Administrative Fees</t>
  </si>
  <si>
    <t>Total Debt Service</t>
  </si>
  <si>
    <t>Insurance &amp; Benefits</t>
  </si>
  <si>
    <t>0100-910-5157</t>
  </si>
  <si>
    <t>Essex County Retirement</t>
  </si>
  <si>
    <t>0100-910-5158</t>
  </si>
  <si>
    <t>Employee Sick Leave</t>
  </si>
  <si>
    <t>0100-910-5159</t>
  </si>
  <si>
    <t>FICA/Medicare</t>
  </si>
  <si>
    <t>0100-120-5111</t>
  </si>
  <si>
    <t>Personnel Salary Reserve</t>
  </si>
  <si>
    <t>0100-910-5160</t>
  </si>
  <si>
    <t>Workmens' Compensation</t>
  </si>
  <si>
    <t>0100-910-5162</t>
  </si>
  <si>
    <t>Health Insurance</t>
  </si>
  <si>
    <t>0100-910-5782</t>
  </si>
  <si>
    <t>Personnel Insurance</t>
  </si>
  <si>
    <t>0100-910-5783</t>
  </si>
  <si>
    <t>General Liability Insurance</t>
  </si>
  <si>
    <t>0100-910-5784</t>
  </si>
  <si>
    <t>Unemployment Ins.</t>
  </si>
  <si>
    <t>0100-910-5800</t>
  </si>
  <si>
    <t>Salisbury Chamber of Commerce</t>
  </si>
  <si>
    <t>Stabilization</t>
  </si>
  <si>
    <t>Transfer Out</t>
  </si>
  <si>
    <t>Total Insurance &amp; Benefits</t>
  </si>
  <si>
    <t>Total General Fund</t>
  </si>
  <si>
    <t>Non-Appropriated Expenditures</t>
  </si>
  <si>
    <t>State Assessments</t>
  </si>
  <si>
    <t>Overlay</t>
  </si>
  <si>
    <t>Cherry Sheet Offsets</t>
  </si>
  <si>
    <t>Teachers Pay Deferral</t>
  </si>
  <si>
    <t>Total Non-Appropriated Expenditures</t>
  </si>
  <si>
    <t>Total Expenditures</t>
  </si>
  <si>
    <t>Surplus/(Deficit)</t>
  </si>
  <si>
    <t>Sewer Enterprise Fund</t>
  </si>
  <si>
    <t>6000-440-5111</t>
  </si>
  <si>
    <t>Director of Public Works</t>
  </si>
  <si>
    <t>6000-440-5112</t>
  </si>
  <si>
    <t>Secretary/Billing Clerk</t>
  </si>
  <si>
    <t>6000-440-5118</t>
  </si>
  <si>
    <t>Labor,Plant Mngr., Chem.,Mech.</t>
  </si>
  <si>
    <t>6000-440-5119</t>
  </si>
  <si>
    <t>Misc.-Intern</t>
  </si>
  <si>
    <t>6000-440-5170</t>
  </si>
  <si>
    <t>Worker's Comp./Unemployment</t>
  </si>
  <si>
    <t>6000-440-5171</t>
  </si>
  <si>
    <t>Pension</t>
  </si>
  <si>
    <t>6000-440-5172</t>
  </si>
  <si>
    <t>6000-440-5173</t>
  </si>
  <si>
    <t>Laborers Overtime</t>
  </si>
  <si>
    <t>6000-440-5174</t>
  </si>
  <si>
    <t>6000-440-5175</t>
  </si>
  <si>
    <t>General Government</t>
  </si>
  <si>
    <t>6000-440-5201</t>
  </si>
  <si>
    <t>Audit</t>
  </si>
  <si>
    <t>6000-440-5202</t>
  </si>
  <si>
    <t>Legal</t>
  </si>
  <si>
    <t>Consultants</t>
  </si>
  <si>
    <t>6000-440-5211</t>
  </si>
  <si>
    <t>6000-440-5212</t>
  </si>
  <si>
    <t>6000-440-5213</t>
  </si>
  <si>
    <t>6000-440-5215</t>
  </si>
  <si>
    <t>6000-440-5240</t>
  </si>
  <si>
    <t>6000-440-5270</t>
  </si>
  <si>
    <t>Equip Rental/Leases</t>
  </si>
  <si>
    <t>6000-440-5277</t>
  </si>
  <si>
    <t>6000-440-5281</t>
  </si>
  <si>
    <t>Billing Services</t>
  </si>
  <si>
    <t>6000-440-5295</t>
  </si>
  <si>
    <t>Vehicle Repair &amp; Maint.</t>
  </si>
  <si>
    <t>Ferry Lots Upgrades</t>
  </si>
  <si>
    <t>WWTP Expansion Study</t>
  </si>
  <si>
    <t>Infiltration Study</t>
  </si>
  <si>
    <t>Land Survey</t>
  </si>
  <si>
    <t>Pumpstation VFD</t>
  </si>
  <si>
    <t>6000-440-5299</t>
  </si>
  <si>
    <t>Emergency Services</t>
  </si>
  <si>
    <t>6000-440-5420</t>
  </si>
  <si>
    <t>6000-440-5430</t>
  </si>
  <si>
    <t>Chemicals</t>
  </si>
  <si>
    <t>6000-440-5440</t>
  </si>
  <si>
    <t>6000-440-5445</t>
  </si>
  <si>
    <t>Vehicle &amp; Equipment Supplies</t>
  </si>
  <si>
    <t>6000-440-5450</t>
  </si>
  <si>
    <t>Building/Grounds</t>
  </si>
  <si>
    <t>6000-440-5455</t>
  </si>
  <si>
    <t>Billings</t>
  </si>
  <si>
    <t>6000-440-5456</t>
  </si>
  <si>
    <t>Clothing</t>
  </si>
  <si>
    <t>6000-440-5460</t>
  </si>
  <si>
    <t>6000-440-5730</t>
  </si>
  <si>
    <t>Travel/Expenses</t>
  </si>
  <si>
    <t>BAN Interest</t>
  </si>
  <si>
    <t>6000-440-5780</t>
  </si>
  <si>
    <t>Principal - Debt Service</t>
  </si>
  <si>
    <t>6000-440-5781</t>
  </si>
  <si>
    <t>INTEREST EXPS - DEBT SERVICE</t>
  </si>
  <si>
    <t>6000-440-5783</t>
  </si>
  <si>
    <t>General Government (Insurance)</t>
  </si>
  <si>
    <t>6000-440-5784</t>
  </si>
  <si>
    <t>Stabilization Fund</t>
  </si>
  <si>
    <t>6000-440-5785</t>
  </si>
  <si>
    <t>Access Fees</t>
  </si>
  <si>
    <t>Admin Fees</t>
  </si>
  <si>
    <t>6000-440-5830</t>
  </si>
  <si>
    <t>Infra Structure</t>
  </si>
  <si>
    <t>6000-440-5850</t>
  </si>
  <si>
    <t>Sludge Removal</t>
  </si>
  <si>
    <t>Sand Beds</t>
  </si>
  <si>
    <t>6000-440-5855</t>
  </si>
  <si>
    <t>Capital Expenditures</t>
  </si>
  <si>
    <t>Transfer Out to Gen Fund</t>
  </si>
  <si>
    <t>Total Sewer Enterprise Fund</t>
  </si>
  <si>
    <t>Water Enterprise</t>
  </si>
  <si>
    <t>7000-450-5111</t>
  </si>
  <si>
    <t>7000-450-5112</t>
  </si>
  <si>
    <t>Administrative</t>
  </si>
  <si>
    <t>7000-450-5119</t>
  </si>
  <si>
    <t>Part Time Summer Help</t>
  </si>
  <si>
    <t>7000-450-5170</t>
  </si>
  <si>
    <t>Worker's Compensation</t>
  </si>
  <si>
    <t>7000-450-5171</t>
  </si>
  <si>
    <t>7000-450-5172</t>
  </si>
  <si>
    <t>Fica &amp; Medicare 9%</t>
  </si>
  <si>
    <t>7000-450-5173</t>
  </si>
  <si>
    <t>7000-450-5175</t>
  </si>
  <si>
    <t>7000-450-5201</t>
  </si>
  <si>
    <t>7000-450-5202</t>
  </si>
  <si>
    <t>7000-450-5203</t>
  </si>
  <si>
    <t>Operating Contract</t>
  </si>
  <si>
    <t>7000-450-5209</t>
  </si>
  <si>
    <t>7000-450-5210</t>
  </si>
  <si>
    <t>7000-450-5214</t>
  </si>
  <si>
    <t>Water</t>
  </si>
  <si>
    <t>7000-450-5215</t>
  </si>
  <si>
    <t>7000-450-5240</t>
  </si>
  <si>
    <t>7000-450-5270</t>
  </si>
  <si>
    <t>Equip Rental &amp; Leasing</t>
  </si>
  <si>
    <t>7000-450-5277</t>
  </si>
  <si>
    <t>7000-450-5278</t>
  </si>
  <si>
    <t>Town Incr. Costs</t>
  </si>
  <si>
    <t>Leak Detection/Land Survey</t>
  </si>
  <si>
    <t>7000-450-5295</t>
  </si>
  <si>
    <t>Vehicle Maintenance &amp; Repair</t>
  </si>
  <si>
    <t>Rings Island - Hydrants</t>
  </si>
  <si>
    <t>7000-450-5299</t>
  </si>
  <si>
    <t>7000-450-5420</t>
  </si>
  <si>
    <t>7000-450-5430</t>
  </si>
  <si>
    <t>7000-450-5440</t>
  </si>
  <si>
    <t>7000-450-5445</t>
  </si>
  <si>
    <t>Vehicle Maintenance</t>
  </si>
  <si>
    <t>7000-450-5450</t>
  </si>
  <si>
    <t>Building &amp; Grounds Supplies</t>
  </si>
  <si>
    <t>7000-450-5455</t>
  </si>
  <si>
    <t>Materials</t>
  </si>
  <si>
    <t>7000-450-5456</t>
  </si>
  <si>
    <t>7000-450-5460</t>
  </si>
  <si>
    <t>7000-450-5670</t>
  </si>
  <si>
    <t>Travel Expense</t>
  </si>
  <si>
    <t>7000-450-5761</t>
  </si>
  <si>
    <t>R.E. Taxes-Seabrook</t>
  </si>
  <si>
    <t xml:space="preserve">Interest - Short-term Borrowing (BAN - $3M) </t>
  </si>
  <si>
    <t>Long Term Debt - Interest</t>
  </si>
  <si>
    <t>7000-450-5781</t>
  </si>
  <si>
    <t>Long Term Debt - Principal</t>
  </si>
  <si>
    <t>7000-450-5782</t>
  </si>
  <si>
    <t>7000-450-5783</t>
  </si>
  <si>
    <t>Insurance</t>
  </si>
  <si>
    <t>7000-450-5784</t>
  </si>
  <si>
    <t>7000-450-5785</t>
  </si>
  <si>
    <t>7000-450-5830</t>
  </si>
  <si>
    <t>Infrastructure</t>
  </si>
  <si>
    <t>7000-450-5850</t>
  </si>
  <si>
    <t>Maintenance &amp; Capital Expend.</t>
  </si>
  <si>
    <t>Well Analysis</t>
  </si>
  <si>
    <t>Well Development</t>
  </si>
  <si>
    <t>SCADA</t>
  </si>
  <si>
    <t>Watershed Management</t>
  </si>
  <si>
    <t>Water Main Replacements</t>
  </si>
  <si>
    <t>Large Meter Replacements</t>
  </si>
  <si>
    <t>**</t>
  </si>
  <si>
    <t>Total  Water Enterprise Fund</t>
  </si>
  <si>
    <t>Total All Funds</t>
  </si>
  <si>
    <t>Salaries</t>
  </si>
  <si>
    <t>Services &amp; Supplies</t>
  </si>
  <si>
    <t>Capital Equipment</t>
  </si>
  <si>
    <t>Public Safety</t>
  </si>
  <si>
    <t>School</t>
  </si>
  <si>
    <t>Pensions</t>
  </si>
  <si>
    <t>Energy</t>
  </si>
  <si>
    <t>Total</t>
  </si>
  <si>
    <t>Public Works</t>
  </si>
  <si>
    <t>Health &amp; Human Services</t>
  </si>
  <si>
    <t>Culture &amp; Recreation</t>
  </si>
  <si>
    <t>Pension &amp; Insurance</t>
  </si>
  <si>
    <t>Intergovernmental</t>
  </si>
  <si>
    <t>Subtotal</t>
  </si>
  <si>
    <t>Total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</si>
</sst>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000_);[Red]\(#,##0.0000\)"/>
    <numFmt numFmtId="167" formatCode="#,##0.0_);[Red]\(#,##0.0\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0" fontId="2" fillId="0" borderId="10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38" fontId="2" fillId="33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8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38" fontId="0" fillId="0" borderId="10" xfId="0" applyNumberFormat="1" applyBorder="1" applyAlignment="1">
      <alignment/>
    </xf>
    <xf numFmtId="38" fontId="2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2" fillId="0" borderId="11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38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Border="1" applyAlignment="1">
      <alignment/>
    </xf>
    <xf numFmtId="37" fontId="0" fillId="0" borderId="0" xfId="42" applyNumberFormat="1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38" fontId="2" fillId="33" borderId="0" xfId="0" applyNumberFormat="1" applyFont="1" applyFill="1" applyAlignment="1">
      <alignment/>
    </xf>
    <xf numFmtId="10" fontId="0" fillId="0" borderId="0" xfId="0" applyNumberFormat="1" applyAlignment="1">
      <alignment/>
    </xf>
    <xf numFmtId="38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0" xfId="0" applyFill="1" applyAlignment="1">
      <alignment/>
    </xf>
    <xf numFmtId="38" fontId="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4"/>
  <sheetViews>
    <sheetView tabSelected="1" zoomScalePageLayoutView="0" workbookViewId="0" topLeftCell="B1">
      <pane ySplit="4" topLeftCell="A128" activePane="bottomLeft" state="frozen"/>
      <selection pane="topLeft" activeCell="B1" sqref="B1"/>
      <selection pane="bottomLeft" activeCell="T188" sqref="T188"/>
    </sheetView>
  </sheetViews>
  <sheetFormatPr defaultColWidth="9.140625" defaultRowHeight="12.75"/>
  <cols>
    <col min="1" max="1" width="19.8515625" style="0" hidden="1" customWidth="1"/>
    <col min="2" max="2" width="32.8515625" style="0" customWidth="1"/>
    <col min="3" max="10" width="13.7109375" style="0" hidden="1" customWidth="1"/>
    <col min="11" max="18" width="13.7109375" style="0" customWidth="1"/>
  </cols>
  <sheetData>
    <row r="1" spans="3:17" ht="12.75">
      <c r="C1" s="1"/>
      <c r="D1" s="1"/>
      <c r="E1" s="1"/>
      <c r="F1" s="1" t="s">
        <v>0</v>
      </c>
      <c r="G1" s="1"/>
      <c r="H1" s="1"/>
      <c r="I1" s="1"/>
      <c r="J1" s="1" t="s">
        <v>0</v>
      </c>
      <c r="K1" s="1" t="s">
        <v>1</v>
      </c>
      <c r="L1" s="1" t="s">
        <v>2</v>
      </c>
      <c r="M1" s="1" t="s">
        <v>1</v>
      </c>
      <c r="N1" s="1" t="s">
        <v>2</v>
      </c>
      <c r="O1" s="1"/>
      <c r="P1" s="1" t="s">
        <v>3</v>
      </c>
      <c r="Q1" s="2"/>
    </row>
    <row r="2" spans="3:18" ht="12.75">
      <c r="C2" s="1" t="s">
        <v>1</v>
      </c>
      <c r="D2" s="1" t="s">
        <v>4</v>
      </c>
      <c r="E2" s="1" t="s">
        <v>5</v>
      </c>
      <c r="F2" s="1" t="s">
        <v>3</v>
      </c>
      <c r="G2" s="1" t="s">
        <v>5</v>
      </c>
      <c r="H2" s="1" t="s">
        <v>4</v>
      </c>
      <c r="I2" s="1" t="s">
        <v>5</v>
      </c>
      <c r="J2" s="1" t="s">
        <v>3</v>
      </c>
      <c r="K2" s="1" t="s">
        <v>5</v>
      </c>
      <c r="L2" s="1" t="s">
        <v>0</v>
      </c>
      <c r="M2" s="1" t="s">
        <v>5</v>
      </c>
      <c r="N2" s="1" t="s">
        <v>0</v>
      </c>
      <c r="O2" s="1"/>
      <c r="P2" s="1" t="s">
        <v>5</v>
      </c>
      <c r="Q2" s="1" t="s">
        <v>6</v>
      </c>
      <c r="R2" s="1" t="s">
        <v>7</v>
      </c>
    </row>
    <row r="3" spans="1:18" ht="12.75">
      <c r="A3" s="2"/>
      <c r="B3" s="1" t="s">
        <v>8</v>
      </c>
      <c r="C3" s="3">
        <v>2011</v>
      </c>
      <c r="D3" s="3">
        <v>2011</v>
      </c>
      <c r="E3" s="3">
        <v>2011</v>
      </c>
      <c r="F3" s="3">
        <v>2011</v>
      </c>
      <c r="G3" s="3">
        <v>2012</v>
      </c>
      <c r="H3" s="3">
        <v>2012</v>
      </c>
      <c r="I3" s="3">
        <v>2012</v>
      </c>
      <c r="J3" s="3">
        <v>2012</v>
      </c>
      <c r="K3" s="3">
        <v>2013</v>
      </c>
      <c r="L3" s="3">
        <v>2013</v>
      </c>
      <c r="M3" s="3">
        <v>2014</v>
      </c>
      <c r="N3" s="3">
        <v>2014</v>
      </c>
      <c r="O3" s="3" t="s">
        <v>5</v>
      </c>
      <c r="P3" s="3">
        <v>2014</v>
      </c>
      <c r="Q3" s="2" t="s">
        <v>9</v>
      </c>
      <c r="R3" s="2" t="s">
        <v>9</v>
      </c>
    </row>
    <row r="4" spans="1:18" ht="12.75">
      <c r="A4" s="4" t="s">
        <v>10</v>
      </c>
      <c r="B4" s="5" t="s">
        <v>11</v>
      </c>
      <c r="C4" s="5" t="s">
        <v>12</v>
      </c>
      <c r="D4" s="5" t="s">
        <v>12</v>
      </c>
      <c r="E4" s="4" t="s">
        <v>13</v>
      </c>
      <c r="F4" s="5" t="s">
        <v>12</v>
      </c>
      <c r="G4" s="5" t="s">
        <v>12</v>
      </c>
      <c r="H4" s="5" t="s">
        <v>12</v>
      </c>
      <c r="I4" s="4" t="s">
        <v>13</v>
      </c>
      <c r="J4" s="5" t="s">
        <v>12</v>
      </c>
      <c r="K4" s="5" t="s">
        <v>12</v>
      </c>
      <c r="L4" s="5" t="s">
        <v>12</v>
      </c>
      <c r="M4" s="5" t="s">
        <v>12</v>
      </c>
      <c r="N4" s="5" t="s">
        <v>12</v>
      </c>
      <c r="O4" s="5" t="s">
        <v>14</v>
      </c>
      <c r="P4" s="5" t="s">
        <v>12</v>
      </c>
      <c r="Q4" s="4" t="s">
        <v>15</v>
      </c>
      <c r="R4" s="4" t="s">
        <v>15</v>
      </c>
    </row>
    <row r="5" spans="1:2" ht="12.75">
      <c r="A5" s="3"/>
      <c r="B5" s="6"/>
    </row>
    <row r="6" spans="3:18" ht="12.7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 ht="12.75">
      <c r="B7" s="8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 hidden="1">
      <c r="A8" t="s">
        <v>17</v>
      </c>
      <c r="B8" t="s">
        <v>18</v>
      </c>
      <c r="C8" s="10">
        <v>13585</v>
      </c>
      <c r="D8" s="10">
        <v>13585</v>
      </c>
      <c r="E8" s="10"/>
      <c r="F8" s="10">
        <f>D8+E8</f>
        <v>13585</v>
      </c>
      <c r="G8" s="10">
        <v>13585</v>
      </c>
      <c r="H8" s="10">
        <v>13585</v>
      </c>
      <c r="I8" s="10"/>
      <c r="J8" s="10">
        <f>H8+I8</f>
        <v>13585</v>
      </c>
      <c r="K8" s="10">
        <v>13585</v>
      </c>
      <c r="L8" s="10">
        <v>13585</v>
      </c>
      <c r="M8" s="10">
        <v>13585</v>
      </c>
      <c r="N8" s="10">
        <v>13585</v>
      </c>
      <c r="O8" s="10"/>
      <c r="P8" s="10">
        <f>N8+O8</f>
        <v>13585</v>
      </c>
      <c r="Q8" s="10">
        <f>P8-L8</f>
        <v>0</v>
      </c>
      <c r="R8" s="11">
        <f>Q8/L8</f>
        <v>0</v>
      </c>
    </row>
    <row r="9" spans="1:18" ht="12.75" hidden="1">
      <c r="A9" t="s">
        <v>17</v>
      </c>
      <c r="B9" t="s">
        <v>19</v>
      </c>
      <c r="C9" s="10">
        <v>200</v>
      </c>
      <c r="D9" s="10">
        <v>200</v>
      </c>
      <c r="E9" s="10"/>
      <c r="F9" s="10">
        <f>D9+E9</f>
        <v>200</v>
      </c>
      <c r="G9" s="10">
        <v>200</v>
      </c>
      <c r="H9" s="10">
        <v>200</v>
      </c>
      <c r="I9" s="10"/>
      <c r="J9" s="10">
        <f>H9+I9</f>
        <v>200</v>
      </c>
      <c r="K9" s="10">
        <v>200</v>
      </c>
      <c r="L9" s="10">
        <v>200</v>
      </c>
      <c r="M9" s="10">
        <v>200</v>
      </c>
      <c r="N9" s="10">
        <v>200</v>
      </c>
      <c r="O9" s="10"/>
      <c r="P9" s="10">
        <f>N9+O9</f>
        <v>200</v>
      </c>
      <c r="Q9" s="10">
        <f>P9-L9</f>
        <v>0</v>
      </c>
      <c r="R9" s="11">
        <f>Q9/L9</f>
        <v>0</v>
      </c>
    </row>
    <row r="10" spans="2:18" ht="12.75">
      <c r="B10" s="8" t="s">
        <v>20</v>
      </c>
      <c r="C10" s="12">
        <f aca="true" t="shared" si="0" ref="C10:Q10">SUM(C8:C9)</f>
        <v>13785</v>
      </c>
      <c r="D10" s="12">
        <f t="shared" si="0"/>
        <v>13785</v>
      </c>
      <c r="E10" s="12">
        <f t="shared" si="0"/>
        <v>0</v>
      </c>
      <c r="F10" s="12">
        <f t="shared" si="0"/>
        <v>13785</v>
      </c>
      <c r="G10" s="12">
        <f t="shared" si="0"/>
        <v>13785</v>
      </c>
      <c r="H10" s="12">
        <f t="shared" si="0"/>
        <v>13785</v>
      </c>
      <c r="I10" s="12">
        <f t="shared" si="0"/>
        <v>0</v>
      </c>
      <c r="J10" s="12">
        <f t="shared" si="0"/>
        <v>13785</v>
      </c>
      <c r="K10" s="13">
        <f t="shared" si="0"/>
        <v>13785</v>
      </c>
      <c r="L10" s="13">
        <f t="shared" si="0"/>
        <v>13785</v>
      </c>
      <c r="M10" s="13">
        <f t="shared" si="0"/>
        <v>13785</v>
      </c>
      <c r="N10" s="13">
        <f t="shared" si="0"/>
        <v>13785</v>
      </c>
      <c r="O10" s="13">
        <f t="shared" si="0"/>
        <v>0</v>
      </c>
      <c r="P10" s="13">
        <f t="shared" si="0"/>
        <v>13785</v>
      </c>
      <c r="Q10" s="13">
        <f t="shared" si="0"/>
        <v>0</v>
      </c>
      <c r="R10" s="14">
        <f>Q10/L10</f>
        <v>0</v>
      </c>
    </row>
    <row r="11" spans="3:18" ht="12.75" hidden="1"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1"/>
    </row>
    <row r="12" spans="1:18" ht="12.75" hidden="1">
      <c r="A12" t="s">
        <v>21</v>
      </c>
      <c r="B12" t="s">
        <v>22</v>
      </c>
      <c r="C12" s="10">
        <v>18000</v>
      </c>
      <c r="D12" s="10">
        <v>10000</v>
      </c>
      <c r="E12" s="10">
        <v>-1000</v>
      </c>
      <c r="F12" s="10">
        <f>D12+E12</f>
        <v>9000</v>
      </c>
      <c r="G12" s="10">
        <v>10000</v>
      </c>
      <c r="H12" s="10">
        <v>10000</v>
      </c>
      <c r="I12" s="10">
        <v>-1800</v>
      </c>
      <c r="J12" s="10">
        <f>H12+I12</f>
        <v>8200</v>
      </c>
      <c r="K12" s="10">
        <v>10000</v>
      </c>
      <c r="L12" s="10">
        <v>8500</v>
      </c>
      <c r="M12" s="10">
        <v>8500</v>
      </c>
      <c r="N12" s="10">
        <v>8500</v>
      </c>
      <c r="O12" s="10"/>
      <c r="P12" s="10">
        <f>N12+O12</f>
        <v>8500</v>
      </c>
      <c r="Q12" s="10">
        <f>P12-L12</f>
        <v>0</v>
      </c>
      <c r="R12" s="11">
        <f>Q12/L12</f>
        <v>0</v>
      </c>
    </row>
    <row r="13" spans="2:18" ht="12.75">
      <c r="B13" s="8" t="s">
        <v>23</v>
      </c>
      <c r="C13" s="12">
        <f aca="true" t="shared" si="1" ref="C13:Q13">SUM(C12)</f>
        <v>18000</v>
      </c>
      <c r="D13" s="12">
        <f t="shared" si="1"/>
        <v>10000</v>
      </c>
      <c r="E13" s="12">
        <f t="shared" si="1"/>
        <v>-1000</v>
      </c>
      <c r="F13" s="12">
        <f t="shared" si="1"/>
        <v>9000</v>
      </c>
      <c r="G13" s="12">
        <f t="shared" si="1"/>
        <v>10000</v>
      </c>
      <c r="H13" s="12">
        <f t="shared" si="1"/>
        <v>10000</v>
      </c>
      <c r="I13" s="12">
        <f t="shared" si="1"/>
        <v>-1800</v>
      </c>
      <c r="J13" s="12">
        <f t="shared" si="1"/>
        <v>8200</v>
      </c>
      <c r="K13" s="13">
        <f t="shared" si="1"/>
        <v>10000</v>
      </c>
      <c r="L13" s="13">
        <f t="shared" si="1"/>
        <v>8500</v>
      </c>
      <c r="M13" s="13">
        <f>SUM(M12)</f>
        <v>8500</v>
      </c>
      <c r="N13" s="13">
        <f>SUM(N12)</f>
        <v>8500</v>
      </c>
      <c r="O13" s="13">
        <f>SUM(O12)</f>
        <v>0</v>
      </c>
      <c r="P13" s="13">
        <f>SUM(P12)</f>
        <v>8500</v>
      </c>
      <c r="Q13" s="13">
        <f t="shared" si="1"/>
        <v>0</v>
      </c>
      <c r="R13" s="14">
        <f>Q13/L13</f>
        <v>0</v>
      </c>
    </row>
    <row r="14" spans="3:18" ht="12.75" hidden="1"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1"/>
    </row>
    <row r="15" spans="1:18" ht="12.75" hidden="1">
      <c r="A15" t="s">
        <v>24</v>
      </c>
      <c r="B15" t="s">
        <v>25</v>
      </c>
      <c r="C15" s="10">
        <v>700</v>
      </c>
      <c r="D15" s="10">
        <v>700</v>
      </c>
      <c r="E15" s="10"/>
      <c r="F15" s="10">
        <f>D15+E15</f>
        <v>700</v>
      </c>
      <c r="G15" s="10">
        <v>700</v>
      </c>
      <c r="H15" s="10">
        <v>700</v>
      </c>
      <c r="I15" s="10"/>
      <c r="J15" s="10">
        <f>H15+I15</f>
        <v>700</v>
      </c>
      <c r="K15" s="10">
        <v>700</v>
      </c>
      <c r="L15" s="10">
        <f>700+1415</f>
        <v>2115</v>
      </c>
      <c r="M15" s="10">
        <f>700+1415</f>
        <v>2115</v>
      </c>
      <c r="N15" s="10">
        <v>1000</v>
      </c>
      <c r="O15" s="10"/>
      <c r="P15" s="10">
        <f>N15+O15</f>
        <v>1000</v>
      </c>
      <c r="Q15" s="10">
        <f>P15-L15</f>
        <v>-1115</v>
      </c>
      <c r="R15" s="11">
        <f>Q15/L15</f>
        <v>-0.5271867612293144</v>
      </c>
    </row>
    <row r="16" spans="2:18" ht="12.75" hidden="1">
      <c r="B16" t="s">
        <v>26</v>
      </c>
      <c r="C16" s="9">
        <v>0</v>
      </c>
      <c r="D16" s="9">
        <v>0</v>
      </c>
      <c r="E16" s="9"/>
      <c r="F16" s="10">
        <f>D16+E16</f>
        <v>0</v>
      </c>
      <c r="G16" s="9">
        <v>0</v>
      </c>
      <c r="H16" s="9">
        <v>0</v>
      </c>
      <c r="I16" s="9"/>
      <c r="J16" s="10">
        <f>H16+I16</f>
        <v>0</v>
      </c>
      <c r="K16" s="10">
        <v>0</v>
      </c>
      <c r="L16" s="10">
        <v>0</v>
      </c>
      <c r="M16" s="10">
        <v>0</v>
      </c>
      <c r="N16" s="10">
        <v>0</v>
      </c>
      <c r="O16" s="10"/>
      <c r="P16" s="10">
        <f>N16+O16</f>
        <v>0</v>
      </c>
      <c r="Q16" s="10">
        <f>P16-L16</f>
        <v>0</v>
      </c>
      <c r="R16" s="11" t="e">
        <f>Q16/L16</f>
        <v>#DIV/0!</v>
      </c>
    </row>
    <row r="17" spans="2:18" ht="12.75">
      <c r="B17" s="8" t="s">
        <v>27</v>
      </c>
      <c r="C17" s="12">
        <f aca="true" t="shared" si="2" ref="C17:Q17">SUM(C15:C16)</f>
        <v>700</v>
      </c>
      <c r="D17" s="12">
        <f t="shared" si="2"/>
        <v>700</v>
      </c>
      <c r="E17" s="12">
        <f t="shared" si="2"/>
        <v>0</v>
      </c>
      <c r="F17" s="12">
        <f t="shared" si="2"/>
        <v>700</v>
      </c>
      <c r="G17" s="12">
        <f t="shared" si="2"/>
        <v>700</v>
      </c>
      <c r="H17" s="12">
        <f t="shared" si="2"/>
        <v>700</v>
      </c>
      <c r="I17" s="12">
        <f t="shared" si="2"/>
        <v>0</v>
      </c>
      <c r="J17" s="12">
        <f t="shared" si="2"/>
        <v>700</v>
      </c>
      <c r="K17" s="13">
        <f t="shared" si="2"/>
        <v>700</v>
      </c>
      <c r="L17" s="13">
        <f t="shared" si="2"/>
        <v>2115</v>
      </c>
      <c r="M17" s="13">
        <f t="shared" si="2"/>
        <v>2115</v>
      </c>
      <c r="N17" s="13">
        <f t="shared" si="2"/>
        <v>1000</v>
      </c>
      <c r="O17" s="13">
        <f t="shared" si="2"/>
        <v>0</v>
      </c>
      <c r="P17" s="13">
        <f t="shared" si="2"/>
        <v>1000</v>
      </c>
      <c r="Q17" s="13">
        <f t="shared" si="2"/>
        <v>-1115</v>
      </c>
      <c r="R17" s="14">
        <f>Q17/L17</f>
        <v>-0.5271867612293144</v>
      </c>
    </row>
    <row r="18" spans="3:18" ht="12.75" hidden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5"/>
    </row>
    <row r="19" spans="2:18" s="16" customFormat="1" ht="12.75">
      <c r="B19" s="17" t="s">
        <v>28</v>
      </c>
      <c r="C19" s="18">
        <f aca="true" t="shared" si="3" ref="C19:Q19">SUM(C10+C13+C17)</f>
        <v>32485</v>
      </c>
      <c r="D19" s="18">
        <f t="shared" si="3"/>
        <v>24485</v>
      </c>
      <c r="E19" s="18">
        <f t="shared" si="3"/>
        <v>-1000</v>
      </c>
      <c r="F19" s="18">
        <f t="shared" si="3"/>
        <v>23485</v>
      </c>
      <c r="G19" s="18">
        <f t="shared" si="3"/>
        <v>24485</v>
      </c>
      <c r="H19" s="18">
        <f t="shared" si="3"/>
        <v>24485</v>
      </c>
      <c r="I19" s="18">
        <f t="shared" si="3"/>
        <v>-1800</v>
      </c>
      <c r="J19" s="18">
        <f t="shared" si="3"/>
        <v>22685</v>
      </c>
      <c r="K19" s="18">
        <f t="shared" si="3"/>
        <v>24485</v>
      </c>
      <c r="L19" s="18">
        <f t="shared" si="3"/>
        <v>24400</v>
      </c>
      <c r="M19" s="18">
        <f>SUM(M10+M13+M17)</f>
        <v>24400</v>
      </c>
      <c r="N19" s="18">
        <f>SUM(N10+N13+N17)</f>
        <v>23285</v>
      </c>
      <c r="O19" s="18">
        <f>SUM(O10+O13+O17)</f>
        <v>0</v>
      </c>
      <c r="P19" s="18">
        <f>SUM(P10+P13+P17)</f>
        <v>23285</v>
      </c>
      <c r="Q19" s="18">
        <f t="shared" si="3"/>
        <v>-1115</v>
      </c>
      <c r="R19" s="19">
        <f>Q19/L19</f>
        <v>-0.04569672131147541</v>
      </c>
    </row>
    <row r="20" spans="3:17" ht="12.7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2:16" ht="12.75">
      <c r="B21" s="8" t="s">
        <v>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8" ht="12.75" hidden="1">
      <c r="A22" t="s">
        <v>29</v>
      </c>
      <c r="B22" t="s">
        <v>30</v>
      </c>
      <c r="C22" s="9">
        <v>97000</v>
      </c>
      <c r="D22" s="9">
        <v>97000</v>
      </c>
      <c r="E22" s="9"/>
      <c r="F22" s="10">
        <f aca="true" t="shared" si="4" ref="F22:F27">D22+E22</f>
        <v>97000</v>
      </c>
      <c r="G22" s="9">
        <v>99000</v>
      </c>
      <c r="H22" s="9">
        <v>99000</v>
      </c>
      <c r="I22" s="9"/>
      <c r="J22" s="10">
        <f aca="true" t="shared" si="5" ref="J22:J27">H22+I22</f>
        <v>99000</v>
      </c>
      <c r="K22" s="9">
        <v>100485</v>
      </c>
      <c r="L22" s="9">
        <v>100485</v>
      </c>
      <c r="M22" s="9">
        <v>102997</v>
      </c>
      <c r="N22" s="9">
        <v>102997</v>
      </c>
      <c r="O22" s="9"/>
      <c r="P22" s="10">
        <f aca="true" t="shared" si="6" ref="P22:P27">N22+O22</f>
        <v>102997</v>
      </c>
      <c r="Q22" s="10">
        <f aca="true" t="shared" si="7" ref="Q22:Q27">P22-L22</f>
        <v>2512</v>
      </c>
      <c r="R22" s="11">
        <f aca="true" t="shared" si="8" ref="R22:R27">Q22/L22</f>
        <v>0.02499875603323879</v>
      </c>
    </row>
    <row r="23" spans="1:24" ht="12.75" hidden="1">
      <c r="A23" t="s">
        <v>31</v>
      </c>
      <c r="B23" t="s">
        <v>32</v>
      </c>
      <c r="C23" s="9">
        <v>37853</v>
      </c>
      <c r="D23" s="9">
        <f>19853+18000</f>
        <v>37853</v>
      </c>
      <c r="E23" s="9"/>
      <c r="F23" s="10">
        <f t="shared" si="4"/>
        <v>37853</v>
      </c>
      <c r="G23" s="9">
        <f>19853+18000</f>
        <v>37853</v>
      </c>
      <c r="H23" s="9">
        <f>19853+18000</f>
        <v>37853</v>
      </c>
      <c r="I23" s="9"/>
      <c r="J23" s="10">
        <f t="shared" si="5"/>
        <v>37853</v>
      </c>
      <c r="K23" s="9">
        <f>19853+18000</f>
        <v>37853</v>
      </c>
      <c r="L23" s="9">
        <f>19853+18000+1000</f>
        <v>38853</v>
      </c>
      <c r="M23" s="9">
        <f>19853+18000+1000</f>
        <v>38853</v>
      </c>
      <c r="N23" s="9">
        <f>19853+18000+1000</f>
        <v>38853</v>
      </c>
      <c r="O23" s="9"/>
      <c r="P23" s="10">
        <f t="shared" si="6"/>
        <v>38853</v>
      </c>
      <c r="Q23" s="10">
        <f t="shared" si="7"/>
        <v>0</v>
      </c>
      <c r="R23" s="11">
        <f t="shared" si="8"/>
        <v>0</v>
      </c>
      <c r="W23">
        <v>1650</v>
      </c>
      <c r="X23">
        <f>W23*13</f>
        <v>21450</v>
      </c>
    </row>
    <row r="24" spans="1:24" ht="12.75" hidden="1">
      <c r="A24" t="s">
        <v>33</v>
      </c>
      <c r="B24" t="s">
        <v>34</v>
      </c>
      <c r="C24" s="9">
        <v>52167</v>
      </c>
      <c r="D24" s="9">
        <v>52422</v>
      </c>
      <c r="E24" s="9"/>
      <c r="F24" s="10">
        <f t="shared" si="4"/>
        <v>52422</v>
      </c>
      <c r="G24" s="9">
        <v>52422</v>
      </c>
      <c r="H24" s="9">
        <v>52422</v>
      </c>
      <c r="I24" s="9"/>
      <c r="J24" s="10">
        <f t="shared" si="5"/>
        <v>52422</v>
      </c>
      <c r="K24" s="9">
        <f>53723*1.035</f>
        <v>55603.30499999999</v>
      </c>
      <c r="L24" s="9">
        <f>53723*1.035</f>
        <v>55603.30499999999</v>
      </c>
      <c r="M24" s="9">
        <f>53723*1.035</f>
        <v>55603.30499999999</v>
      </c>
      <c r="N24" s="9">
        <v>45000</v>
      </c>
      <c r="O24" s="9">
        <v>-11250</v>
      </c>
      <c r="P24" s="10">
        <f t="shared" si="6"/>
        <v>33750</v>
      </c>
      <c r="Q24" s="10">
        <f t="shared" si="7"/>
        <v>-21853.304999999993</v>
      </c>
      <c r="R24" s="11">
        <f t="shared" si="8"/>
        <v>-0.39302169178612667</v>
      </c>
      <c r="S24" t="e">
        <f>#REF!/#REF!</f>
        <v>#REF!</v>
      </c>
      <c r="W24">
        <v>1732.5</v>
      </c>
      <c r="X24">
        <f>W24*13</f>
        <v>22522.5</v>
      </c>
    </row>
    <row r="25" spans="1:18" ht="12.75" hidden="1">
      <c r="A25" t="s">
        <v>35</v>
      </c>
      <c r="B25" t="s">
        <v>36</v>
      </c>
      <c r="C25" s="9"/>
      <c r="D25" s="9"/>
      <c r="E25" s="9"/>
      <c r="F25" s="10">
        <f t="shared" si="4"/>
        <v>0</v>
      </c>
      <c r="G25" s="9"/>
      <c r="H25" s="9"/>
      <c r="I25" s="9"/>
      <c r="J25" s="10">
        <f t="shared" si="5"/>
        <v>0</v>
      </c>
      <c r="K25" s="9"/>
      <c r="L25" s="9"/>
      <c r="M25" s="9"/>
      <c r="N25" s="9"/>
      <c r="O25" s="9"/>
      <c r="P25" s="10">
        <f t="shared" si="6"/>
        <v>0</v>
      </c>
      <c r="Q25" s="10">
        <f t="shared" si="7"/>
        <v>0</v>
      </c>
      <c r="R25" s="11" t="e">
        <f t="shared" si="8"/>
        <v>#DIV/0!</v>
      </c>
    </row>
    <row r="26" spans="1:18" ht="12.75" hidden="1">
      <c r="A26" t="s">
        <v>37</v>
      </c>
      <c r="B26" t="s">
        <v>38</v>
      </c>
      <c r="C26" s="9">
        <v>16000</v>
      </c>
      <c r="D26" s="9">
        <v>16000</v>
      </c>
      <c r="E26" s="9"/>
      <c r="F26" s="10">
        <f t="shared" si="4"/>
        <v>16000</v>
      </c>
      <c r="G26" s="9">
        <v>16000</v>
      </c>
      <c r="H26" s="9">
        <v>16000</v>
      </c>
      <c r="I26" s="9"/>
      <c r="J26" s="10">
        <f t="shared" si="5"/>
        <v>16000</v>
      </c>
      <c r="K26" s="9">
        <v>16000</v>
      </c>
      <c r="L26" s="9">
        <v>16000</v>
      </c>
      <c r="M26" s="9">
        <v>16000</v>
      </c>
      <c r="N26" s="9">
        <v>16000</v>
      </c>
      <c r="O26" s="9"/>
      <c r="P26" s="10">
        <f t="shared" si="6"/>
        <v>16000</v>
      </c>
      <c r="Q26" s="10">
        <f t="shared" si="7"/>
        <v>0</v>
      </c>
      <c r="R26" s="11">
        <f t="shared" si="8"/>
        <v>0</v>
      </c>
    </row>
    <row r="27" spans="2:18" ht="12.75" hidden="1">
      <c r="B27" t="s">
        <v>39</v>
      </c>
      <c r="C27" s="9">
        <v>1100</v>
      </c>
      <c r="D27" s="9">
        <v>1100</v>
      </c>
      <c r="E27" s="9"/>
      <c r="F27" s="10">
        <f t="shared" si="4"/>
        <v>1100</v>
      </c>
      <c r="G27" s="9">
        <v>2600</v>
      </c>
      <c r="H27" s="9">
        <v>2600</v>
      </c>
      <c r="I27" s="9"/>
      <c r="J27" s="10">
        <f t="shared" si="5"/>
        <v>2600</v>
      </c>
      <c r="K27" s="9">
        <v>2900</v>
      </c>
      <c r="L27" s="9">
        <v>2900</v>
      </c>
      <c r="M27" s="9">
        <v>2000</v>
      </c>
      <c r="N27" s="9">
        <v>2000</v>
      </c>
      <c r="O27" s="9"/>
      <c r="P27" s="10">
        <f t="shared" si="6"/>
        <v>2000</v>
      </c>
      <c r="Q27" s="10">
        <f t="shared" si="7"/>
        <v>-900</v>
      </c>
      <c r="R27" s="11">
        <f t="shared" si="8"/>
        <v>-0.3103448275862069</v>
      </c>
    </row>
    <row r="28" spans="2:18" ht="12.75">
      <c r="B28" s="8" t="s">
        <v>20</v>
      </c>
      <c r="C28" s="12">
        <f aca="true" t="shared" si="9" ref="C28:Q28">SUM(C22:C27)</f>
        <v>204120</v>
      </c>
      <c r="D28" s="12">
        <f t="shared" si="9"/>
        <v>204375</v>
      </c>
      <c r="E28" s="12">
        <f t="shared" si="9"/>
        <v>0</v>
      </c>
      <c r="F28" s="12">
        <f t="shared" si="9"/>
        <v>204375</v>
      </c>
      <c r="G28" s="12">
        <f t="shared" si="9"/>
        <v>207875</v>
      </c>
      <c r="H28" s="12">
        <f t="shared" si="9"/>
        <v>207875</v>
      </c>
      <c r="I28" s="12">
        <f t="shared" si="9"/>
        <v>0</v>
      </c>
      <c r="J28" s="12">
        <f t="shared" si="9"/>
        <v>207875</v>
      </c>
      <c r="K28" s="13">
        <f t="shared" si="9"/>
        <v>212841.305</v>
      </c>
      <c r="L28" s="13">
        <f t="shared" si="9"/>
        <v>213841.305</v>
      </c>
      <c r="M28" s="13">
        <f t="shared" si="9"/>
        <v>215453.305</v>
      </c>
      <c r="N28" s="13">
        <f>SUM(N22:N27)</f>
        <v>204850</v>
      </c>
      <c r="O28" s="13">
        <f>SUM(O22:O27)</f>
        <v>-11250</v>
      </c>
      <c r="P28" s="13">
        <f>SUM(P22:P27)</f>
        <v>193600</v>
      </c>
      <c r="Q28" s="13">
        <f t="shared" si="9"/>
        <v>-20241.304999999993</v>
      </c>
      <c r="R28" s="14">
        <f>Q28/L28</f>
        <v>-0.09465573079999673</v>
      </c>
    </row>
    <row r="29" spans="3:18" ht="12.75" hidden="1">
      <c r="C29" s="9"/>
      <c r="D29" s="9"/>
      <c r="E29" s="9"/>
      <c r="F29" s="9"/>
      <c r="G29" s="9"/>
      <c r="H29" s="9"/>
      <c r="I29" s="9"/>
      <c r="J29" s="9"/>
      <c r="K29" s="10"/>
      <c r="L29" s="10"/>
      <c r="M29" s="10"/>
      <c r="N29" s="10"/>
      <c r="O29" s="10"/>
      <c r="P29" s="10"/>
      <c r="Q29" s="10"/>
      <c r="R29" s="11"/>
    </row>
    <row r="30" spans="1:18" ht="12.75" hidden="1">
      <c r="A30" t="s">
        <v>40</v>
      </c>
      <c r="B30" t="s">
        <v>41</v>
      </c>
      <c r="C30" s="9">
        <v>0</v>
      </c>
      <c r="D30" s="9">
        <v>0</v>
      </c>
      <c r="E30" s="9"/>
      <c r="F30" s="10">
        <f>D30+E30</f>
        <v>0</v>
      </c>
      <c r="G30" s="9">
        <v>0</v>
      </c>
      <c r="H30" s="9">
        <v>0</v>
      </c>
      <c r="I30" s="9"/>
      <c r="J30" s="10">
        <f>H30+I30</f>
        <v>0</v>
      </c>
      <c r="K30" s="10">
        <v>0</v>
      </c>
      <c r="L30" s="10">
        <v>0</v>
      </c>
      <c r="M30" s="10">
        <v>0</v>
      </c>
      <c r="N30" s="10">
        <v>0</v>
      </c>
      <c r="O30" s="10"/>
      <c r="P30" s="10">
        <f aca="true" t="shared" si="10" ref="P30:P35">N30+O30</f>
        <v>0</v>
      </c>
      <c r="Q30" s="10">
        <f aca="true" t="shared" si="11" ref="Q30:Q35">P30-L30</f>
        <v>0</v>
      </c>
      <c r="R30" s="11" t="e">
        <f aca="true" t="shared" si="12" ref="R30:R36">Q30/L30</f>
        <v>#DIV/0!</v>
      </c>
    </row>
    <row r="31" spans="1:18" ht="12.75" hidden="1">
      <c r="A31" t="s">
        <v>42</v>
      </c>
      <c r="B31" t="s">
        <v>43</v>
      </c>
      <c r="C31" s="9">
        <v>100000</v>
      </c>
      <c r="D31" s="9">
        <v>100000</v>
      </c>
      <c r="E31" s="9">
        <v>-10000</v>
      </c>
      <c r="F31" s="10">
        <f>D31+E31</f>
        <v>90000</v>
      </c>
      <c r="G31" s="9">
        <v>100000</v>
      </c>
      <c r="H31" s="9">
        <v>90000</v>
      </c>
      <c r="I31" s="9"/>
      <c r="J31" s="10">
        <f>H31+I31</f>
        <v>90000</v>
      </c>
      <c r="K31" s="10">
        <v>90000</v>
      </c>
      <c r="L31" s="10">
        <v>90000</v>
      </c>
      <c r="M31" s="10">
        <v>90000</v>
      </c>
      <c r="N31" s="10">
        <v>85000</v>
      </c>
      <c r="O31" s="10"/>
      <c r="P31" s="10">
        <f t="shared" si="10"/>
        <v>85000</v>
      </c>
      <c r="Q31" s="10">
        <f t="shared" si="11"/>
        <v>-5000</v>
      </c>
      <c r="R31" s="11">
        <f t="shared" si="12"/>
        <v>-0.05555555555555555</v>
      </c>
    </row>
    <row r="32" spans="1:18" ht="12.75" hidden="1">
      <c r="A32" t="s">
        <v>44</v>
      </c>
      <c r="B32" t="s">
        <v>45</v>
      </c>
      <c r="C32" s="10">
        <v>10000</v>
      </c>
      <c r="D32" s="10">
        <v>10000</v>
      </c>
      <c r="E32" s="10"/>
      <c r="F32" s="10">
        <f>D32+E32</f>
        <v>10000</v>
      </c>
      <c r="G32" s="10">
        <v>10000</v>
      </c>
      <c r="H32" s="10">
        <v>20000</v>
      </c>
      <c r="I32" s="10"/>
      <c r="J32" s="10">
        <f>H32+I32</f>
        <v>20000</v>
      </c>
      <c r="K32" s="10">
        <v>20000</v>
      </c>
      <c r="L32" s="10">
        <v>20000</v>
      </c>
      <c r="M32" s="10">
        <v>20000</v>
      </c>
      <c r="N32" s="10">
        <v>15000</v>
      </c>
      <c r="O32" s="10"/>
      <c r="P32" s="10">
        <f t="shared" si="10"/>
        <v>15000</v>
      </c>
      <c r="Q32" s="10">
        <f t="shared" si="11"/>
        <v>-5000</v>
      </c>
      <c r="R32" s="11">
        <f t="shared" si="12"/>
        <v>-0.25</v>
      </c>
    </row>
    <row r="33" spans="2:18" ht="12.75" hidden="1">
      <c r="B33" s="20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v>7000</v>
      </c>
      <c r="O33" s="10"/>
      <c r="P33" s="10">
        <f t="shared" si="10"/>
        <v>7000</v>
      </c>
      <c r="Q33" s="10">
        <f t="shared" si="11"/>
        <v>7000</v>
      </c>
      <c r="R33" s="11" t="e">
        <f>Q33/L33</f>
        <v>#DIV/0!</v>
      </c>
    </row>
    <row r="34" spans="1:18" ht="12.75" hidden="1">
      <c r="A34" t="s">
        <v>47</v>
      </c>
      <c r="B34" t="s">
        <v>48</v>
      </c>
      <c r="C34" s="9">
        <v>0</v>
      </c>
      <c r="D34" s="9">
        <v>0</v>
      </c>
      <c r="E34" s="9"/>
      <c r="F34" s="10">
        <f>D34+E34</f>
        <v>0</v>
      </c>
      <c r="G34" s="9">
        <v>0</v>
      </c>
      <c r="H34" s="9">
        <v>0</v>
      </c>
      <c r="I34" s="9"/>
      <c r="J34" s="10">
        <f>H34+I34</f>
        <v>0</v>
      </c>
      <c r="K34" s="10">
        <v>0</v>
      </c>
      <c r="L34" s="10">
        <v>0</v>
      </c>
      <c r="M34" s="10">
        <v>0</v>
      </c>
      <c r="N34" s="10">
        <v>0</v>
      </c>
      <c r="O34" s="10"/>
      <c r="P34" s="10">
        <f t="shared" si="10"/>
        <v>0</v>
      </c>
      <c r="Q34" s="10">
        <f t="shared" si="11"/>
        <v>0</v>
      </c>
      <c r="R34" s="11" t="e">
        <f t="shared" si="12"/>
        <v>#DIV/0!</v>
      </c>
    </row>
    <row r="35" spans="1:18" ht="12.75" hidden="1">
      <c r="A35" t="s">
        <v>49</v>
      </c>
      <c r="B35" t="s">
        <v>50</v>
      </c>
      <c r="C35" s="9">
        <v>0</v>
      </c>
      <c r="D35" s="9">
        <v>0</v>
      </c>
      <c r="E35" s="9"/>
      <c r="F35" s="10">
        <f>D35+E35</f>
        <v>0</v>
      </c>
      <c r="G35" s="9">
        <v>0</v>
      </c>
      <c r="H35" s="9">
        <v>0</v>
      </c>
      <c r="I35" s="9"/>
      <c r="J35" s="10">
        <f>H35+I35</f>
        <v>0</v>
      </c>
      <c r="K35" s="10">
        <v>0</v>
      </c>
      <c r="L35" s="10">
        <v>0</v>
      </c>
      <c r="M35" s="10">
        <v>0</v>
      </c>
      <c r="N35" s="10">
        <v>0</v>
      </c>
      <c r="O35" s="10"/>
      <c r="P35" s="10">
        <f t="shared" si="10"/>
        <v>0</v>
      </c>
      <c r="Q35" s="10">
        <f t="shared" si="11"/>
        <v>0</v>
      </c>
      <c r="R35" s="11" t="e">
        <f t="shared" si="12"/>
        <v>#DIV/0!</v>
      </c>
    </row>
    <row r="36" spans="2:18" ht="12.75">
      <c r="B36" s="8" t="s">
        <v>23</v>
      </c>
      <c r="C36" s="12">
        <f aca="true" t="shared" si="13" ref="C36:Q36">SUM(C30:C35)</f>
        <v>110000</v>
      </c>
      <c r="D36" s="12">
        <f t="shared" si="13"/>
        <v>110000</v>
      </c>
      <c r="E36" s="12">
        <f t="shared" si="13"/>
        <v>-10000</v>
      </c>
      <c r="F36" s="12">
        <f t="shared" si="13"/>
        <v>100000</v>
      </c>
      <c r="G36" s="12">
        <f t="shared" si="13"/>
        <v>110000</v>
      </c>
      <c r="H36" s="12">
        <f t="shared" si="13"/>
        <v>110000</v>
      </c>
      <c r="I36" s="12">
        <f t="shared" si="13"/>
        <v>0</v>
      </c>
      <c r="J36" s="12">
        <f t="shared" si="13"/>
        <v>110000</v>
      </c>
      <c r="K36" s="13">
        <f t="shared" si="13"/>
        <v>110000</v>
      </c>
      <c r="L36" s="13">
        <f t="shared" si="13"/>
        <v>110000</v>
      </c>
      <c r="M36" s="13">
        <f t="shared" si="13"/>
        <v>110000</v>
      </c>
      <c r="N36" s="13">
        <f t="shared" si="13"/>
        <v>107000</v>
      </c>
      <c r="O36" s="13">
        <f t="shared" si="13"/>
        <v>0</v>
      </c>
      <c r="P36" s="13">
        <f t="shared" si="13"/>
        <v>107000</v>
      </c>
      <c r="Q36" s="13">
        <f t="shared" si="13"/>
        <v>-3000</v>
      </c>
      <c r="R36" s="14">
        <f t="shared" si="12"/>
        <v>-0.02727272727272727</v>
      </c>
    </row>
    <row r="37" spans="3:18" ht="12.75" hidden="1"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10"/>
      <c r="P37" s="10"/>
      <c r="Q37" s="10"/>
      <c r="R37" s="11"/>
    </row>
    <row r="38" spans="1:18" ht="12.75" hidden="1">
      <c r="A38" t="s">
        <v>51</v>
      </c>
      <c r="B38" t="s">
        <v>52</v>
      </c>
      <c r="C38" s="9">
        <v>500</v>
      </c>
      <c r="D38" s="9">
        <v>500</v>
      </c>
      <c r="E38" s="9"/>
      <c r="F38" s="10">
        <f>D38+E38</f>
        <v>500</v>
      </c>
      <c r="G38" s="9">
        <v>500</v>
      </c>
      <c r="H38" s="9">
        <v>500</v>
      </c>
      <c r="I38" s="9"/>
      <c r="J38" s="10">
        <f>H38+I38</f>
        <v>500</v>
      </c>
      <c r="K38" s="10">
        <v>500</v>
      </c>
      <c r="L38" s="10">
        <v>500</v>
      </c>
      <c r="M38" s="10">
        <v>500</v>
      </c>
      <c r="N38" s="10">
        <v>700</v>
      </c>
      <c r="O38" s="10"/>
      <c r="P38" s="10">
        <f>N38+O38</f>
        <v>700</v>
      </c>
      <c r="Q38" s="10">
        <f>P38-L38</f>
        <v>200</v>
      </c>
      <c r="R38" s="11">
        <f>Q38/L38</f>
        <v>0.4</v>
      </c>
    </row>
    <row r="39" spans="2:18" ht="12.75">
      <c r="B39" s="8" t="s">
        <v>53</v>
      </c>
      <c r="C39" s="12">
        <f aca="true" t="shared" si="14" ref="C39:Q39">SUM(C38:C38)</f>
        <v>500</v>
      </c>
      <c r="D39" s="12">
        <f t="shared" si="14"/>
        <v>500</v>
      </c>
      <c r="E39" s="12">
        <f t="shared" si="14"/>
        <v>0</v>
      </c>
      <c r="F39" s="12">
        <f t="shared" si="14"/>
        <v>500</v>
      </c>
      <c r="G39" s="12">
        <f t="shared" si="14"/>
        <v>500</v>
      </c>
      <c r="H39" s="12">
        <f t="shared" si="14"/>
        <v>500</v>
      </c>
      <c r="I39" s="12">
        <f t="shared" si="14"/>
        <v>0</v>
      </c>
      <c r="J39" s="12">
        <f t="shared" si="14"/>
        <v>500</v>
      </c>
      <c r="K39" s="13">
        <f t="shared" si="14"/>
        <v>500</v>
      </c>
      <c r="L39" s="13">
        <f t="shared" si="14"/>
        <v>500</v>
      </c>
      <c r="M39" s="13">
        <f t="shared" si="14"/>
        <v>500</v>
      </c>
      <c r="N39" s="13">
        <f t="shared" si="14"/>
        <v>700</v>
      </c>
      <c r="O39" s="13">
        <f t="shared" si="14"/>
        <v>0</v>
      </c>
      <c r="P39" s="13">
        <f t="shared" si="14"/>
        <v>700</v>
      </c>
      <c r="Q39" s="13">
        <f t="shared" si="14"/>
        <v>200</v>
      </c>
      <c r="R39" s="14">
        <f>Q39/L39</f>
        <v>0.4</v>
      </c>
    </row>
    <row r="40" spans="3:18" ht="12.75" hidden="1">
      <c r="C40" s="9"/>
      <c r="D40" s="9"/>
      <c r="E40" s="9"/>
      <c r="F40" s="9"/>
      <c r="G40" s="9"/>
      <c r="H40" s="9"/>
      <c r="I40" s="9"/>
      <c r="J40" s="9"/>
      <c r="K40" s="10"/>
      <c r="L40" s="10"/>
      <c r="M40" s="10"/>
      <c r="N40" s="10"/>
      <c r="O40" s="10"/>
      <c r="P40" s="10"/>
      <c r="Q40" s="10"/>
      <c r="R40" s="11"/>
    </row>
    <row r="41" spans="1:18" ht="12.75" hidden="1">
      <c r="A41" t="s">
        <v>54</v>
      </c>
      <c r="B41" t="s">
        <v>25</v>
      </c>
      <c r="C41" s="10">
        <v>3500</v>
      </c>
      <c r="D41" s="10">
        <v>5500</v>
      </c>
      <c r="E41" s="10"/>
      <c r="F41" s="10">
        <f>D41+E41</f>
        <v>5500</v>
      </c>
      <c r="G41" s="10">
        <v>5500</v>
      </c>
      <c r="H41" s="10">
        <v>5500</v>
      </c>
      <c r="I41" s="10"/>
      <c r="J41" s="10">
        <f>H41+I41</f>
        <v>5500</v>
      </c>
      <c r="K41" s="10">
        <v>5500</v>
      </c>
      <c r="L41" s="10">
        <v>5500</v>
      </c>
      <c r="M41" s="10">
        <v>5500</v>
      </c>
      <c r="N41" s="10">
        <v>5000</v>
      </c>
      <c r="O41" s="10"/>
      <c r="P41" s="10">
        <f>N41+O41</f>
        <v>5000</v>
      </c>
      <c r="Q41" s="10">
        <f>P41-L41</f>
        <v>-500</v>
      </c>
      <c r="R41" s="11">
        <f>Q41/L41</f>
        <v>-0.09090909090909091</v>
      </c>
    </row>
    <row r="42" spans="2:18" ht="12.75" hidden="1">
      <c r="B42" t="s">
        <v>55</v>
      </c>
      <c r="C42" s="10">
        <v>1800</v>
      </c>
      <c r="D42" s="10">
        <v>1800</v>
      </c>
      <c r="E42" s="10"/>
      <c r="F42" s="10">
        <f>D42+E42</f>
        <v>1800</v>
      </c>
      <c r="G42" s="10">
        <v>1800</v>
      </c>
      <c r="H42" s="10">
        <v>1800</v>
      </c>
      <c r="I42" s="10"/>
      <c r="J42" s="10">
        <f>H42+I42</f>
        <v>1800</v>
      </c>
      <c r="K42" s="10">
        <v>1800</v>
      </c>
      <c r="L42" s="10">
        <v>1800</v>
      </c>
      <c r="M42" s="10">
        <v>1800</v>
      </c>
      <c r="N42" s="10">
        <v>2000</v>
      </c>
      <c r="O42" s="10"/>
      <c r="P42" s="10">
        <f>N42+O42</f>
        <v>2000</v>
      </c>
      <c r="Q42" s="10">
        <f>P42-L42</f>
        <v>200</v>
      </c>
      <c r="R42" s="11">
        <f>Q42/L42</f>
        <v>0.1111111111111111</v>
      </c>
    </row>
    <row r="43" spans="2:18" ht="12.75">
      <c r="B43" s="8" t="s">
        <v>27</v>
      </c>
      <c r="C43" s="12">
        <f aca="true" t="shared" si="15" ref="C43:Q43">SUM(C41:C42)</f>
        <v>5300</v>
      </c>
      <c r="D43" s="12">
        <f t="shared" si="15"/>
        <v>7300</v>
      </c>
      <c r="E43" s="12">
        <f t="shared" si="15"/>
        <v>0</v>
      </c>
      <c r="F43" s="12">
        <f t="shared" si="15"/>
        <v>7300</v>
      </c>
      <c r="G43" s="12">
        <f t="shared" si="15"/>
        <v>7300</v>
      </c>
      <c r="H43" s="12">
        <f t="shared" si="15"/>
        <v>7300</v>
      </c>
      <c r="I43" s="12">
        <f t="shared" si="15"/>
        <v>0</v>
      </c>
      <c r="J43" s="12">
        <f t="shared" si="15"/>
        <v>7300</v>
      </c>
      <c r="K43" s="13">
        <f t="shared" si="15"/>
        <v>7300</v>
      </c>
      <c r="L43" s="13">
        <f t="shared" si="15"/>
        <v>7300</v>
      </c>
      <c r="M43" s="13">
        <f>SUM(M41:M42)</f>
        <v>7300</v>
      </c>
      <c r="N43" s="13">
        <f>SUM(N41:N42)</f>
        <v>7000</v>
      </c>
      <c r="O43" s="13">
        <f>SUM(O41:O42)</f>
        <v>0</v>
      </c>
      <c r="P43" s="13">
        <f>SUM(P41:P42)</f>
        <v>7000</v>
      </c>
      <c r="Q43" s="13">
        <f t="shared" si="15"/>
        <v>-300</v>
      </c>
      <c r="R43" s="14">
        <f>Q43/L43</f>
        <v>-0.0410958904109589</v>
      </c>
    </row>
    <row r="44" spans="3:18" ht="12.75" hidden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7"/>
    </row>
    <row r="45" spans="2:42" s="16" customFormat="1" ht="12.75">
      <c r="B45" s="17" t="s">
        <v>56</v>
      </c>
      <c r="C45" s="18">
        <f aca="true" t="shared" si="16" ref="C45:Q45">SUM(C28+C36+C39+C43)</f>
        <v>319920</v>
      </c>
      <c r="D45" s="18">
        <f t="shared" si="16"/>
        <v>322175</v>
      </c>
      <c r="E45" s="18">
        <f t="shared" si="16"/>
        <v>-10000</v>
      </c>
      <c r="F45" s="18">
        <f t="shared" si="16"/>
        <v>312175</v>
      </c>
      <c r="G45" s="18">
        <f t="shared" si="16"/>
        <v>325675</v>
      </c>
      <c r="H45" s="18">
        <f t="shared" si="16"/>
        <v>325675</v>
      </c>
      <c r="I45" s="18">
        <f t="shared" si="16"/>
        <v>0</v>
      </c>
      <c r="J45" s="18">
        <f t="shared" si="16"/>
        <v>325675</v>
      </c>
      <c r="K45" s="18">
        <f t="shared" si="16"/>
        <v>330641.305</v>
      </c>
      <c r="L45" s="18">
        <f t="shared" si="16"/>
        <v>331641.305</v>
      </c>
      <c r="M45" s="18">
        <f>SUM(M28+M36+M39+M43)</f>
        <v>333253.305</v>
      </c>
      <c r="N45" s="18">
        <f>SUM(N28+N36+N39+N43)</f>
        <v>319550</v>
      </c>
      <c r="O45" s="18">
        <f>SUM(O28+O36+O39+O43)</f>
        <v>-11250</v>
      </c>
      <c r="P45" s="18">
        <f>SUM(P28+P36+P39+P43)</f>
        <v>308300</v>
      </c>
      <c r="Q45" s="18">
        <f t="shared" si="16"/>
        <v>-23341.304999999993</v>
      </c>
      <c r="R45" s="19">
        <f>Q45/L45</f>
        <v>-0.07038117583091766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2:42" s="16" customFormat="1" ht="12.7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2:16" ht="12.75">
      <c r="B47" s="8" t="s">
        <v>57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ht="12.75" hidden="1">
      <c r="B48" s="20" t="s">
        <v>58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8" ht="12.75" hidden="1">
      <c r="B49" t="s">
        <v>41</v>
      </c>
      <c r="C49" s="9">
        <v>9300</v>
      </c>
      <c r="D49" s="9">
        <v>9300</v>
      </c>
      <c r="E49" s="9"/>
      <c r="F49" s="10">
        <f>D49+E49</f>
        <v>9300</v>
      </c>
      <c r="G49" s="9">
        <v>9300</v>
      </c>
      <c r="H49" s="9">
        <v>9300</v>
      </c>
      <c r="I49" s="9">
        <v>-2300</v>
      </c>
      <c r="J49" s="10">
        <f>H49+I49</f>
        <v>7000</v>
      </c>
      <c r="K49" s="9">
        <v>9300</v>
      </c>
      <c r="L49" s="9">
        <v>4500</v>
      </c>
      <c r="M49" s="9">
        <v>4500</v>
      </c>
      <c r="N49" s="9">
        <v>4500</v>
      </c>
      <c r="O49" s="9"/>
      <c r="P49" s="10">
        <f aca="true" t="shared" si="17" ref="P49:P54">N49+O49</f>
        <v>4500</v>
      </c>
      <c r="Q49" s="10">
        <f aca="true" t="shared" si="18" ref="Q49:Q54">P49-L49</f>
        <v>0</v>
      </c>
      <c r="R49" s="11">
        <f aca="true" t="shared" si="19" ref="R49:R55">Q49/L49</f>
        <v>0</v>
      </c>
    </row>
    <row r="50" spans="2:18" ht="12.75" hidden="1">
      <c r="B50" t="s">
        <v>59</v>
      </c>
      <c r="C50" s="10">
        <v>13000</v>
      </c>
      <c r="D50" s="10">
        <v>13000</v>
      </c>
      <c r="E50" s="10"/>
      <c r="F50" s="10">
        <f>D50+E50</f>
        <v>13000</v>
      </c>
      <c r="G50" s="10">
        <v>20000</v>
      </c>
      <c r="H50" s="10">
        <v>20000</v>
      </c>
      <c r="I50" s="10"/>
      <c r="J50" s="10">
        <f>H50+I50</f>
        <v>20000</v>
      </c>
      <c r="K50" s="10">
        <v>20000</v>
      </c>
      <c r="L50" s="10">
        <v>20000</v>
      </c>
      <c r="M50" s="10">
        <v>20000</v>
      </c>
      <c r="N50" s="10">
        <v>15000</v>
      </c>
      <c r="O50" s="10"/>
      <c r="P50" s="10">
        <f t="shared" si="17"/>
        <v>15000</v>
      </c>
      <c r="Q50" s="10">
        <f t="shared" si="18"/>
        <v>-5000</v>
      </c>
      <c r="R50" s="11">
        <f t="shared" si="19"/>
        <v>-0.25</v>
      </c>
    </row>
    <row r="51" spans="2:18" ht="12.75" hidden="1">
      <c r="B51" s="20" t="s">
        <v>48</v>
      </c>
      <c r="C51" s="9">
        <v>26000</v>
      </c>
      <c r="D51" s="9">
        <v>25000</v>
      </c>
      <c r="E51" s="9"/>
      <c r="F51" s="10">
        <f>D51+E51</f>
        <v>25000</v>
      </c>
      <c r="G51" s="9">
        <v>25000</v>
      </c>
      <c r="H51" s="9">
        <v>25000</v>
      </c>
      <c r="I51" s="9">
        <v>-3000</v>
      </c>
      <c r="J51" s="10">
        <f>H51+I51</f>
        <v>22000</v>
      </c>
      <c r="K51" s="9">
        <v>25000</v>
      </c>
      <c r="L51" s="9">
        <v>25000</v>
      </c>
      <c r="M51" s="9">
        <v>25000</v>
      </c>
      <c r="N51" s="9">
        <v>27000</v>
      </c>
      <c r="O51" s="9"/>
      <c r="P51" s="10">
        <f t="shared" si="17"/>
        <v>27000</v>
      </c>
      <c r="Q51" s="10">
        <f t="shared" si="18"/>
        <v>2000</v>
      </c>
      <c r="R51" s="11">
        <f t="shared" si="19"/>
        <v>0.08</v>
      </c>
    </row>
    <row r="52" spans="2:18" ht="12.75" hidden="1">
      <c r="B52" s="20" t="s">
        <v>50</v>
      </c>
      <c r="C52" s="9">
        <v>24000</v>
      </c>
      <c r="D52" s="9">
        <v>14000</v>
      </c>
      <c r="E52" s="9"/>
      <c r="F52" s="10">
        <f>D52+E52</f>
        <v>14000</v>
      </c>
      <c r="G52" s="9">
        <v>14000</v>
      </c>
      <c r="H52" s="9">
        <v>14000</v>
      </c>
      <c r="I52" s="9">
        <v>-2000</v>
      </c>
      <c r="J52" s="10">
        <f>H52+I52</f>
        <v>12000</v>
      </c>
      <c r="K52" s="9">
        <v>14000</v>
      </c>
      <c r="L52" s="9">
        <v>13000</v>
      </c>
      <c r="M52" s="9">
        <v>13000</v>
      </c>
      <c r="N52" s="9">
        <v>13000</v>
      </c>
      <c r="O52" s="9"/>
      <c r="P52" s="10">
        <f t="shared" si="17"/>
        <v>13000</v>
      </c>
      <c r="Q52" s="10">
        <f t="shared" si="18"/>
        <v>0</v>
      </c>
      <c r="R52" s="11">
        <f t="shared" si="19"/>
        <v>0</v>
      </c>
    </row>
    <row r="53" spans="2:18" ht="12.75" hidden="1">
      <c r="B53" s="20" t="s">
        <v>60</v>
      </c>
      <c r="C53" s="9"/>
      <c r="D53" s="9"/>
      <c r="E53" s="9"/>
      <c r="F53" s="10"/>
      <c r="G53" s="9"/>
      <c r="H53" s="9"/>
      <c r="I53" s="9"/>
      <c r="J53" s="10"/>
      <c r="K53" s="9"/>
      <c r="L53" s="9"/>
      <c r="M53" s="9"/>
      <c r="N53" s="9">
        <v>2000</v>
      </c>
      <c r="O53" s="9"/>
      <c r="P53" s="10">
        <f t="shared" si="17"/>
        <v>2000</v>
      </c>
      <c r="Q53" s="10">
        <f t="shared" si="18"/>
        <v>2000</v>
      </c>
      <c r="R53" s="11" t="e">
        <f>Q53/L53</f>
        <v>#DIV/0!</v>
      </c>
    </row>
    <row r="54" spans="1:18" ht="12.75" hidden="1">
      <c r="A54" t="s">
        <v>61</v>
      </c>
      <c r="B54" s="20" t="s">
        <v>62</v>
      </c>
      <c r="C54" s="24">
        <v>9000</v>
      </c>
      <c r="D54" s="24">
        <v>9000</v>
      </c>
      <c r="E54" s="10"/>
      <c r="F54" s="10">
        <f>D54+E54</f>
        <v>9000</v>
      </c>
      <c r="G54" s="24">
        <v>9000</v>
      </c>
      <c r="H54" s="24">
        <v>9000</v>
      </c>
      <c r="I54" s="10"/>
      <c r="J54" s="10">
        <f>H54+I54</f>
        <v>9000</v>
      </c>
      <c r="K54" s="10">
        <v>9000</v>
      </c>
      <c r="L54" s="10">
        <v>9000</v>
      </c>
      <c r="M54" s="10">
        <v>9000</v>
      </c>
      <c r="N54" s="10">
        <v>9000</v>
      </c>
      <c r="O54" s="10"/>
      <c r="P54" s="10">
        <f t="shared" si="17"/>
        <v>9000</v>
      </c>
      <c r="Q54" s="10">
        <f t="shared" si="18"/>
        <v>0</v>
      </c>
      <c r="R54" s="11">
        <f t="shared" si="19"/>
        <v>0</v>
      </c>
    </row>
    <row r="55" spans="2:18" ht="12.75">
      <c r="B55" s="8" t="s">
        <v>23</v>
      </c>
      <c r="C55" s="25">
        <f aca="true" t="shared" si="20" ref="C55:Q55">SUM(C48:C54)</f>
        <v>81300</v>
      </c>
      <c r="D55" s="25">
        <f t="shared" si="20"/>
        <v>70300</v>
      </c>
      <c r="E55" s="12">
        <f t="shared" si="20"/>
        <v>0</v>
      </c>
      <c r="F55" s="12">
        <f t="shared" si="20"/>
        <v>70300</v>
      </c>
      <c r="G55" s="25">
        <f t="shared" si="20"/>
        <v>77300</v>
      </c>
      <c r="H55" s="25">
        <f t="shared" si="20"/>
        <v>77300</v>
      </c>
      <c r="I55" s="12">
        <f t="shared" si="20"/>
        <v>-7300</v>
      </c>
      <c r="J55" s="12">
        <f t="shared" si="20"/>
        <v>70000</v>
      </c>
      <c r="K55" s="13">
        <f t="shared" si="20"/>
        <v>77300</v>
      </c>
      <c r="L55" s="13">
        <f t="shared" si="20"/>
        <v>71500</v>
      </c>
      <c r="M55" s="13">
        <f>SUM(M48:M54)</f>
        <v>71500</v>
      </c>
      <c r="N55" s="13">
        <f>SUM(N48:N54)</f>
        <v>70500</v>
      </c>
      <c r="O55" s="13">
        <f>SUM(O48:O54)</f>
        <v>0</v>
      </c>
      <c r="P55" s="13">
        <f>SUM(P48:P54)</f>
        <v>70500</v>
      </c>
      <c r="Q55" s="13">
        <f t="shared" si="20"/>
        <v>-1000</v>
      </c>
      <c r="R55" s="14">
        <f t="shared" si="19"/>
        <v>-0.013986013986013986</v>
      </c>
    </row>
    <row r="56" spans="3:18" ht="12.75" hidden="1">
      <c r="C56" s="9"/>
      <c r="D56" s="9"/>
      <c r="E56" s="9"/>
      <c r="F56" s="9"/>
      <c r="G56" s="9"/>
      <c r="H56" s="9"/>
      <c r="I56" s="9"/>
      <c r="J56" s="9"/>
      <c r="K56" s="10"/>
      <c r="L56" s="10"/>
      <c r="M56" s="10"/>
      <c r="N56" s="10"/>
      <c r="O56" s="10"/>
      <c r="P56" s="10"/>
      <c r="Q56" s="10"/>
      <c r="R56" s="11"/>
    </row>
    <row r="57" spans="1:18" ht="12.75" hidden="1">
      <c r="A57" t="s">
        <v>63</v>
      </c>
      <c r="B57" t="s">
        <v>64</v>
      </c>
      <c r="C57" s="10">
        <v>3000</v>
      </c>
      <c r="D57" s="10">
        <v>3000</v>
      </c>
      <c r="E57" s="10"/>
      <c r="F57" s="10">
        <f>D57+E57</f>
        <v>3000</v>
      </c>
      <c r="G57" s="10">
        <v>3000</v>
      </c>
      <c r="H57" s="10">
        <v>3000</v>
      </c>
      <c r="I57" s="10"/>
      <c r="J57" s="10">
        <f>H57+I57</f>
        <v>3000</v>
      </c>
      <c r="K57" s="10">
        <v>3000</v>
      </c>
      <c r="L57" s="10">
        <v>3000</v>
      </c>
      <c r="M57" s="10">
        <v>3000</v>
      </c>
      <c r="N57" s="10">
        <v>3000</v>
      </c>
      <c r="O57" s="10"/>
      <c r="P57" s="10">
        <f>N57+O57</f>
        <v>3000</v>
      </c>
      <c r="Q57" s="10">
        <f>P57-L57</f>
        <v>0</v>
      </c>
      <c r="R57" s="11">
        <f>Q57/L57</f>
        <v>0</v>
      </c>
    </row>
    <row r="58" spans="2:18" ht="12.75">
      <c r="B58" s="8" t="s">
        <v>53</v>
      </c>
      <c r="C58" s="12">
        <f aca="true" t="shared" si="21" ref="C58:Q58">SUM(C57)</f>
        <v>3000</v>
      </c>
      <c r="D58" s="12">
        <f t="shared" si="21"/>
        <v>3000</v>
      </c>
      <c r="E58" s="12">
        <f t="shared" si="21"/>
        <v>0</v>
      </c>
      <c r="F58" s="12">
        <f t="shared" si="21"/>
        <v>3000</v>
      </c>
      <c r="G58" s="12">
        <f t="shared" si="21"/>
        <v>3000</v>
      </c>
      <c r="H58" s="12">
        <f t="shared" si="21"/>
        <v>3000</v>
      </c>
      <c r="I58" s="12">
        <f t="shared" si="21"/>
        <v>0</v>
      </c>
      <c r="J58" s="12">
        <f t="shared" si="21"/>
        <v>3000</v>
      </c>
      <c r="K58" s="13">
        <f t="shared" si="21"/>
        <v>3000</v>
      </c>
      <c r="L58" s="13">
        <f t="shared" si="21"/>
        <v>3000</v>
      </c>
      <c r="M58" s="13">
        <f>SUM(M57)</f>
        <v>3000</v>
      </c>
      <c r="N58" s="13">
        <f>SUM(N57)</f>
        <v>3000</v>
      </c>
      <c r="O58" s="13">
        <f>SUM(O57)</f>
        <v>0</v>
      </c>
      <c r="P58" s="13">
        <f>SUM(P57)</f>
        <v>3000</v>
      </c>
      <c r="Q58" s="13">
        <f t="shared" si="21"/>
        <v>0</v>
      </c>
      <c r="R58" s="14">
        <f>Q58/L58</f>
        <v>0</v>
      </c>
    </row>
    <row r="59" spans="3:18" ht="12.75" hidden="1">
      <c r="C59" s="9"/>
      <c r="D59" s="9"/>
      <c r="E59" s="9"/>
      <c r="F59" s="9"/>
      <c r="G59" s="9"/>
      <c r="H59" s="9"/>
      <c r="I59" s="9"/>
      <c r="J59" s="9"/>
      <c r="K59" s="10"/>
      <c r="L59" s="10"/>
      <c r="M59" s="10"/>
      <c r="N59" s="10"/>
      <c r="O59" s="10"/>
      <c r="P59" s="10"/>
      <c r="Q59" s="10"/>
      <c r="R59" s="11"/>
    </row>
    <row r="60" spans="1:18" ht="12.75" hidden="1">
      <c r="A60" t="s">
        <v>65</v>
      </c>
      <c r="B60" t="s">
        <v>66</v>
      </c>
      <c r="C60" s="24"/>
      <c r="D60" s="24"/>
      <c r="E60" s="10"/>
      <c r="F60" s="10">
        <f>D60+E60</f>
        <v>0</v>
      </c>
      <c r="G60" s="10"/>
      <c r="H60" s="10"/>
      <c r="I60" s="10"/>
      <c r="J60" s="10">
        <f>H60+I60</f>
        <v>0</v>
      </c>
      <c r="K60" s="10"/>
      <c r="L60" s="10"/>
      <c r="M60" s="10"/>
      <c r="N60" s="10"/>
      <c r="O60" s="10"/>
      <c r="P60" s="10">
        <f>N60+O60</f>
        <v>0</v>
      </c>
      <c r="Q60" s="10">
        <f>P60-L60</f>
        <v>0</v>
      </c>
      <c r="R60" s="11" t="e">
        <f>Q60/L60</f>
        <v>#DIV/0!</v>
      </c>
    </row>
    <row r="61" spans="2:18" ht="12.75">
      <c r="B61" s="8" t="s">
        <v>67</v>
      </c>
      <c r="C61" s="25">
        <f aca="true" t="shared" si="22" ref="C61:Q61">SUM(C60)</f>
        <v>0</v>
      </c>
      <c r="D61" s="25">
        <f t="shared" si="22"/>
        <v>0</v>
      </c>
      <c r="E61" s="12">
        <f t="shared" si="22"/>
        <v>0</v>
      </c>
      <c r="F61" s="12">
        <f t="shared" si="22"/>
        <v>0</v>
      </c>
      <c r="G61" s="12">
        <f t="shared" si="22"/>
        <v>0</v>
      </c>
      <c r="H61" s="12">
        <f t="shared" si="22"/>
        <v>0</v>
      </c>
      <c r="I61" s="12">
        <f t="shared" si="22"/>
        <v>0</v>
      </c>
      <c r="J61" s="12">
        <f t="shared" si="22"/>
        <v>0</v>
      </c>
      <c r="K61" s="13">
        <f t="shared" si="22"/>
        <v>0</v>
      </c>
      <c r="L61" s="13">
        <f t="shared" si="22"/>
        <v>0</v>
      </c>
      <c r="M61" s="13">
        <f>SUM(M60)</f>
        <v>0</v>
      </c>
      <c r="N61" s="13">
        <f>SUM(N60)</f>
        <v>0</v>
      </c>
      <c r="O61" s="13">
        <f>SUM(O60)</f>
        <v>0</v>
      </c>
      <c r="P61" s="13">
        <f>SUM(P60)</f>
        <v>0</v>
      </c>
      <c r="Q61" s="13">
        <f t="shared" si="22"/>
        <v>0</v>
      </c>
      <c r="R61" s="14" t="e">
        <f>Q61/L61</f>
        <v>#DIV/0!</v>
      </c>
    </row>
    <row r="62" spans="3:18" ht="12.75" hidden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5"/>
    </row>
    <row r="63" spans="2:18" s="16" customFormat="1" ht="12.75">
      <c r="B63" s="17" t="s">
        <v>68</v>
      </c>
      <c r="C63" s="18">
        <f aca="true" t="shared" si="23" ref="C63:Q63">SUM(C61+C58+C55)</f>
        <v>84300</v>
      </c>
      <c r="D63" s="18">
        <f t="shared" si="23"/>
        <v>73300</v>
      </c>
      <c r="E63" s="18">
        <f t="shared" si="23"/>
        <v>0</v>
      </c>
      <c r="F63" s="18">
        <f t="shared" si="23"/>
        <v>73300</v>
      </c>
      <c r="G63" s="18">
        <f t="shared" si="23"/>
        <v>80300</v>
      </c>
      <c r="H63" s="18">
        <f t="shared" si="23"/>
        <v>80300</v>
      </c>
      <c r="I63" s="18">
        <f t="shared" si="23"/>
        <v>-7300</v>
      </c>
      <c r="J63" s="18">
        <f t="shared" si="23"/>
        <v>73000</v>
      </c>
      <c r="K63" s="18">
        <f t="shared" si="23"/>
        <v>80300</v>
      </c>
      <c r="L63" s="18">
        <f t="shared" si="23"/>
        <v>74500</v>
      </c>
      <c r="M63" s="18">
        <f>SUM(M61+M58+M55)</f>
        <v>74500</v>
      </c>
      <c r="N63" s="18">
        <f>SUM(N61+N58+N55)</f>
        <v>73500</v>
      </c>
      <c r="O63" s="18">
        <f>SUM(O61+O58+O55)</f>
        <v>0</v>
      </c>
      <c r="P63" s="18">
        <f>SUM(P61+P58+P55)</f>
        <v>73500</v>
      </c>
      <c r="Q63" s="18">
        <f t="shared" si="23"/>
        <v>-1000</v>
      </c>
      <c r="R63" s="19">
        <f>Q63/L63</f>
        <v>-0.013422818791946308</v>
      </c>
    </row>
    <row r="64" spans="3:17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9"/>
    </row>
    <row r="65" spans="2:16" ht="12.75">
      <c r="B65" s="8" t="s">
        <v>69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8" ht="12.75" hidden="1">
      <c r="A66" t="s">
        <v>70</v>
      </c>
      <c r="B66" t="s">
        <v>71</v>
      </c>
      <c r="C66" s="9">
        <v>87525</v>
      </c>
      <c r="D66" s="9">
        <v>90150</v>
      </c>
      <c r="E66" s="9"/>
      <c r="F66" s="10">
        <f>D66+E66</f>
        <v>90150</v>
      </c>
      <c r="G66" s="9">
        <v>95172</v>
      </c>
      <c r="H66" s="9">
        <v>95172</v>
      </c>
      <c r="I66" s="9"/>
      <c r="J66" s="10">
        <f aca="true" t="shared" si="24" ref="J66:J71">H66+I66</f>
        <v>95172</v>
      </c>
      <c r="K66" s="9">
        <v>98503</v>
      </c>
      <c r="L66" s="9">
        <v>98503</v>
      </c>
      <c r="M66" s="9">
        <v>98503</v>
      </c>
      <c r="N66" s="9">
        <v>98503</v>
      </c>
      <c r="O66" s="9"/>
      <c r="P66" s="10">
        <f aca="true" t="shared" si="25" ref="P66:P71">N66+O66</f>
        <v>98503</v>
      </c>
      <c r="Q66" s="10">
        <f aca="true" t="shared" si="26" ref="Q66:Q71">P66-L66</f>
        <v>0</v>
      </c>
      <c r="R66" s="11">
        <f aca="true" t="shared" si="27" ref="R66:R71">Q66/L66</f>
        <v>0</v>
      </c>
    </row>
    <row r="67" spans="1:18" ht="12.75" hidden="1">
      <c r="A67" t="s">
        <v>72</v>
      </c>
      <c r="B67" t="s">
        <v>73</v>
      </c>
      <c r="C67" s="9"/>
      <c r="D67" s="9"/>
      <c r="E67" s="9"/>
      <c r="F67" s="10">
        <f>D67+E67</f>
        <v>0</v>
      </c>
      <c r="G67" s="9"/>
      <c r="H67" s="9"/>
      <c r="I67" s="9"/>
      <c r="J67" s="10">
        <f t="shared" si="24"/>
        <v>0</v>
      </c>
      <c r="K67" s="9"/>
      <c r="L67" s="9"/>
      <c r="M67" s="9"/>
      <c r="N67" s="9"/>
      <c r="O67" s="9"/>
      <c r="P67" s="10">
        <f t="shared" si="25"/>
        <v>0</v>
      </c>
      <c r="Q67" s="10">
        <f t="shared" si="26"/>
        <v>0</v>
      </c>
      <c r="R67" s="11" t="e">
        <f t="shared" si="27"/>
        <v>#DIV/0!</v>
      </c>
    </row>
    <row r="68" spans="1:18" ht="12.75" hidden="1">
      <c r="A68" t="s">
        <v>74</v>
      </c>
      <c r="B68" t="s">
        <v>75</v>
      </c>
      <c r="C68" s="9">
        <v>47156</v>
      </c>
      <c r="D68" s="9">
        <v>47156</v>
      </c>
      <c r="E68" s="9"/>
      <c r="F68" s="10">
        <f>D68+E68</f>
        <v>47156</v>
      </c>
      <c r="G68" s="9">
        <v>50000</v>
      </c>
      <c r="H68" s="9">
        <v>50000</v>
      </c>
      <c r="I68" s="9"/>
      <c r="J68" s="10">
        <f t="shared" si="24"/>
        <v>50000</v>
      </c>
      <c r="K68" s="9">
        <v>53020</v>
      </c>
      <c r="L68" s="9">
        <v>53020</v>
      </c>
      <c r="M68" s="9">
        <v>53020</v>
      </c>
      <c r="N68" s="9">
        <v>53020</v>
      </c>
      <c r="O68" s="9"/>
      <c r="P68" s="10">
        <f t="shared" si="25"/>
        <v>53020</v>
      </c>
      <c r="Q68" s="10">
        <f t="shared" si="26"/>
        <v>0</v>
      </c>
      <c r="R68" s="11">
        <f t="shared" si="27"/>
        <v>0</v>
      </c>
    </row>
    <row r="69" spans="2:18" ht="12.75" hidden="1">
      <c r="B69" t="s">
        <v>76</v>
      </c>
      <c r="C69" s="9">
        <v>2000</v>
      </c>
      <c r="D69" s="9">
        <v>2000</v>
      </c>
      <c r="E69" s="9"/>
      <c r="F69" s="10">
        <f>D69+E69</f>
        <v>2000</v>
      </c>
      <c r="G69" s="9">
        <v>2000</v>
      </c>
      <c r="H69" s="9">
        <v>2000</v>
      </c>
      <c r="I69" s="9"/>
      <c r="J69" s="10">
        <f t="shared" si="24"/>
        <v>2000</v>
      </c>
      <c r="K69" s="9">
        <v>2000</v>
      </c>
      <c r="L69" s="9">
        <v>2000</v>
      </c>
      <c r="M69" s="9">
        <v>2000</v>
      </c>
      <c r="N69" s="9">
        <v>2000</v>
      </c>
      <c r="O69" s="9"/>
      <c r="P69" s="10">
        <f t="shared" si="25"/>
        <v>2000</v>
      </c>
      <c r="Q69" s="10">
        <f t="shared" si="26"/>
        <v>0</v>
      </c>
      <c r="R69" s="11">
        <f t="shared" si="27"/>
        <v>0</v>
      </c>
    </row>
    <row r="70" spans="2:18" ht="12.75" hidden="1">
      <c r="B70" t="s">
        <v>39</v>
      </c>
      <c r="C70" s="9">
        <v>2100</v>
      </c>
      <c r="D70" s="9">
        <v>2100</v>
      </c>
      <c r="E70" s="9"/>
      <c r="F70" s="10">
        <f>D70+E70</f>
        <v>2100</v>
      </c>
      <c r="G70" s="9">
        <v>2100</v>
      </c>
      <c r="H70" s="9">
        <v>2100</v>
      </c>
      <c r="I70" s="9"/>
      <c r="J70" s="10">
        <f t="shared" si="24"/>
        <v>2100</v>
      </c>
      <c r="K70" s="9">
        <v>2400</v>
      </c>
      <c r="L70" s="9">
        <v>2400</v>
      </c>
      <c r="M70" s="9">
        <f>1400+1200</f>
        <v>2600</v>
      </c>
      <c r="N70" s="9">
        <f>1400+1200</f>
        <v>2600</v>
      </c>
      <c r="O70" s="9"/>
      <c r="P70" s="10">
        <f t="shared" si="25"/>
        <v>2600</v>
      </c>
      <c r="Q70" s="10">
        <f t="shared" si="26"/>
        <v>200</v>
      </c>
      <c r="R70" s="11">
        <f t="shared" si="27"/>
        <v>0.08333333333333333</v>
      </c>
    </row>
    <row r="71" spans="2:18" ht="12.75" hidden="1">
      <c r="B71" s="20" t="s">
        <v>77</v>
      </c>
      <c r="C71" s="9">
        <v>2100</v>
      </c>
      <c r="D71" s="9">
        <v>2100</v>
      </c>
      <c r="E71" s="9"/>
      <c r="F71" s="10"/>
      <c r="G71" s="9">
        <v>2100</v>
      </c>
      <c r="H71" s="9"/>
      <c r="I71" s="9"/>
      <c r="J71" s="10">
        <f t="shared" si="24"/>
        <v>0</v>
      </c>
      <c r="K71" s="9">
        <v>1000</v>
      </c>
      <c r="L71" s="9">
        <v>1000</v>
      </c>
      <c r="M71" s="9">
        <v>1000</v>
      </c>
      <c r="N71" s="9">
        <v>1000</v>
      </c>
      <c r="O71" s="9"/>
      <c r="P71" s="10">
        <f t="shared" si="25"/>
        <v>1000</v>
      </c>
      <c r="Q71" s="10">
        <f t="shared" si="26"/>
        <v>0</v>
      </c>
      <c r="R71" s="11">
        <f t="shared" si="27"/>
        <v>0</v>
      </c>
    </row>
    <row r="72" spans="2:18" ht="12.75">
      <c r="B72" s="8" t="s">
        <v>20</v>
      </c>
      <c r="C72" s="12">
        <f aca="true" t="shared" si="28" ref="C72:Q72">SUM(C66:C71)</f>
        <v>140881</v>
      </c>
      <c r="D72" s="12">
        <f t="shared" si="28"/>
        <v>143506</v>
      </c>
      <c r="E72" s="12">
        <f t="shared" si="28"/>
        <v>0</v>
      </c>
      <c r="F72" s="12">
        <f t="shared" si="28"/>
        <v>141406</v>
      </c>
      <c r="G72" s="12">
        <f t="shared" si="28"/>
        <v>151372</v>
      </c>
      <c r="H72" s="12">
        <f t="shared" si="28"/>
        <v>149272</v>
      </c>
      <c r="I72" s="12">
        <f t="shared" si="28"/>
        <v>0</v>
      </c>
      <c r="J72" s="12">
        <f t="shared" si="28"/>
        <v>149272</v>
      </c>
      <c r="K72" s="13">
        <f t="shared" si="28"/>
        <v>156923</v>
      </c>
      <c r="L72" s="13">
        <f t="shared" si="28"/>
        <v>156923</v>
      </c>
      <c r="M72" s="13">
        <f t="shared" si="28"/>
        <v>157123</v>
      </c>
      <c r="N72" s="13">
        <f t="shared" si="28"/>
        <v>157123</v>
      </c>
      <c r="O72" s="13">
        <f t="shared" si="28"/>
        <v>0</v>
      </c>
      <c r="P72" s="13">
        <f t="shared" si="28"/>
        <v>157123</v>
      </c>
      <c r="Q72" s="13">
        <f t="shared" si="28"/>
        <v>200</v>
      </c>
      <c r="R72" s="14">
        <f>Q72/L72</f>
        <v>0.0012745104286815826</v>
      </c>
    </row>
    <row r="73" spans="3:18" ht="12.75" hidden="1">
      <c r="C73" s="9"/>
      <c r="D73" s="9"/>
      <c r="E73" s="9"/>
      <c r="F73" s="9"/>
      <c r="G73" s="9"/>
      <c r="H73" s="9"/>
      <c r="I73" s="9"/>
      <c r="J73" s="9"/>
      <c r="K73" s="10"/>
      <c r="L73" s="10"/>
      <c r="M73" s="10"/>
      <c r="N73" s="10"/>
      <c r="O73" s="10"/>
      <c r="P73" s="10"/>
      <c r="Q73" s="10"/>
      <c r="R73" s="11"/>
    </row>
    <row r="74" spans="2:18" ht="12.75" hidden="1">
      <c r="B74" t="s">
        <v>78</v>
      </c>
      <c r="C74" s="9">
        <v>5000</v>
      </c>
      <c r="D74" s="9">
        <v>5000</v>
      </c>
      <c r="E74" s="9">
        <v>-250</v>
      </c>
      <c r="F74" s="10">
        <f>D74+E74</f>
        <v>4750</v>
      </c>
      <c r="G74" s="9">
        <v>5000</v>
      </c>
      <c r="H74" s="9">
        <v>5000</v>
      </c>
      <c r="I74" s="9"/>
      <c r="J74" s="10">
        <f>H74+I74</f>
        <v>5000</v>
      </c>
      <c r="K74" s="10">
        <v>5000</v>
      </c>
      <c r="L74" s="10">
        <v>5000</v>
      </c>
      <c r="M74" s="10">
        <v>5000</v>
      </c>
      <c r="N74" s="10">
        <v>5000</v>
      </c>
      <c r="O74" s="10"/>
      <c r="P74" s="10">
        <f>N74+O74</f>
        <v>5000</v>
      </c>
      <c r="Q74" s="10">
        <f>P74-L74</f>
        <v>0</v>
      </c>
      <c r="R74" s="11">
        <f>Q74/L74</f>
        <v>0</v>
      </c>
    </row>
    <row r="75" spans="1:18" ht="12.75" hidden="1">
      <c r="A75" t="s">
        <v>79</v>
      </c>
      <c r="B75" t="s">
        <v>80</v>
      </c>
      <c r="C75" s="10">
        <v>5750</v>
      </c>
      <c r="D75" s="10">
        <v>5750</v>
      </c>
      <c r="E75" s="10">
        <v>-100</v>
      </c>
      <c r="F75" s="10">
        <f>D75+E75</f>
        <v>5650</v>
      </c>
      <c r="G75" s="10">
        <v>5750</v>
      </c>
      <c r="H75" s="10">
        <v>5750</v>
      </c>
      <c r="I75" s="10"/>
      <c r="J75" s="10">
        <f>H75+I75</f>
        <v>5750</v>
      </c>
      <c r="K75" s="10">
        <v>5750</v>
      </c>
      <c r="L75" s="10">
        <v>5750</v>
      </c>
      <c r="M75" s="10">
        <v>5750</v>
      </c>
      <c r="N75" s="10">
        <v>5750</v>
      </c>
      <c r="O75" s="10"/>
      <c r="P75" s="10">
        <f>N75+O75</f>
        <v>5750</v>
      </c>
      <c r="Q75" s="10">
        <f>P75-L75</f>
        <v>0</v>
      </c>
      <c r="R75" s="11">
        <f>Q75/L75</f>
        <v>0</v>
      </c>
    </row>
    <row r="76" spans="2:18" ht="12.75">
      <c r="B76" s="8" t="s">
        <v>23</v>
      </c>
      <c r="C76" s="12">
        <f aca="true" t="shared" si="29" ref="C76:Q76">SUM(C74:C75)</f>
        <v>10750</v>
      </c>
      <c r="D76" s="12">
        <f t="shared" si="29"/>
        <v>10750</v>
      </c>
      <c r="E76" s="12">
        <f t="shared" si="29"/>
        <v>-350</v>
      </c>
      <c r="F76" s="12">
        <f t="shared" si="29"/>
        <v>10400</v>
      </c>
      <c r="G76" s="12">
        <f t="shared" si="29"/>
        <v>10750</v>
      </c>
      <c r="H76" s="12">
        <f t="shared" si="29"/>
        <v>10750</v>
      </c>
      <c r="I76" s="12">
        <f t="shared" si="29"/>
        <v>0</v>
      </c>
      <c r="J76" s="12">
        <f t="shared" si="29"/>
        <v>10750</v>
      </c>
      <c r="K76" s="13">
        <f t="shared" si="29"/>
        <v>10750</v>
      </c>
      <c r="L76" s="13">
        <f t="shared" si="29"/>
        <v>10750</v>
      </c>
      <c r="M76" s="13">
        <f t="shared" si="29"/>
        <v>10750</v>
      </c>
      <c r="N76" s="13">
        <f t="shared" si="29"/>
        <v>10750</v>
      </c>
      <c r="O76" s="13">
        <f t="shared" si="29"/>
        <v>0</v>
      </c>
      <c r="P76" s="13">
        <f t="shared" si="29"/>
        <v>10750</v>
      </c>
      <c r="Q76" s="13">
        <f t="shared" si="29"/>
        <v>0</v>
      </c>
      <c r="R76" s="14">
        <f>Q76/L76</f>
        <v>0</v>
      </c>
    </row>
    <row r="77" spans="3:18" ht="12.75" hidden="1">
      <c r="C77" s="9"/>
      <c r="D77" s="9"/>
      <c r="E77" s="9"/>
      <c r="F77" s="9"/>
      <c r="G77" s="9"/>
      <c r="H77" s="9"/>
      <c r="I77" s="9"/>
      <c r="J77" s="9"/>
      <c r="K77" s="10"/>
      <c r="L77" s="10"/>
      <c r="M77" s="10"/>
      <c r="N77" s="10"/>
      <c r="O77" s="10"/>
      <c r="P77" s="10"/>
      <c r="Q77" s="10"/>
      <c r="R77" s="11"/>
    </row>
    <row r="78" spans="1:18" ht="12.75" hidden="1">
      <c r="A78" t="s">
        <v>81</v>
      </c>
      <c r="B78" t="s">
        <v>52</v>
      </c>
      <c r="C78" s="10">
        <v>1000</v>
      </c>
      <c r="D78" s="10">
        <v>1000</v>
      </c>
      <c r="E78" s="10">
        <v>-250</v>
      </c>
      <c r="F78" s="10">
        <f>D78+E78</f>
        <v>750</v>
      </c>
      <c r="G78" s="10">
        <v>1000</v>
      </c>
      <c r="H78" s="10">
        <v>1000</v>
      </c>
      <c r="I78" s="10"/>
      <c r="J78" s="10">
        <f>H78+I78</f>
        <v>1000</v>
      </c>
      <c r="K78" s="10">
        <v>1000</v>
      </c>
      <c r="L78" s="10">
        <v>1000</v>
      </c>
      <c r="M78" s="10">
        <v>1000</v>
      </c>
      <c r="N78" s="10">
        <v>1000</v>
      </c>
      <c r="O78" s="10"/>
      <c r="P78" s="10">
        <f>N78+O78</f>
        <v>1000</v>
      </c>
      <c r="Q78" s="10">
        <f>P78-L78</f>
        <v>0</v>
      </c>
      <c r="R78" s="11">
        <f>Q78/L78</f>
        <v>0</v>
      </c>
    </row>
    <row r="79" spans="2:18" ht="12.75">
      <c r="B79" s="8" t="s">
        <v>53</v>
      </c>
      <c r="C79" s="12">
        <f aca="true" t="shared" si="30" ref="C79:Q79">SUM(C78)</f>
        <v>1000</v>
      </c>
      <c r="D79" s="12">
        <f t="shared" si="30"/>
        <v>1000</v>
      </c>
      <c r="E79" s="12">
        <f t="shared" si="30"/>
        <v>-250</v>
      </c>
      <c r="F79" s="12">
        <f t="shared" si="30"/>
        <v>750</v>
      </c>
      <c r="G79" s="12">
        <f t="shared" si="30"/>
        <v>1000</v>
      </c>
      <c r="H79" s="12">
        <f t="shared" si="30"/>
        <v>1000</v>
      </c>
      <c r="I79" s="12">
        <f t="shared" si="30"/>
        <v>0</v>
      </c>
      <c r="J79" s="12">
        <f t="shared" si="30"/>
        <v>1000</v>
      </c>
      <c r="K79" s="13">
        <f t="shared" si="30"/>
        <v>1000</v>
      </c>
      <c r="L79" s="13">
        <f t="shared" si="30"/>
        <v>1000</v>
      </c>
      <c r="M79" s="13">
        <f>SUM(M78)</f>
        <v>1000</v>
      </c>
      <c r="N79" s="13">
        <f>SUM(N78)</f>
        <v>1000</v>
      </c>
      <c r="O79" s="13">
        <f>SUM(O78)</f>
        <v>0</v>
      </c>
      <c r="P79" s="13">
        <f>SUM(P78)</f>
        <v>1000</v>
      </c>
      <c r="Q79" s="13">
        <f t="shared" si="30"/>
        <v>0</v>
      </c>
      <c r="R79" s="14">
        <f>Q79/L79</f>
        <v>0</v>
      </c>
    </row>
    <row r="80" spans="3:18" ht="12.75" hidden="1">
      <c r="C80" s="9"/>
      <c r="D80" s="9"/>
      <c r="E80" s="9"/>
      <c r="F80" s="9"/>
      <c r="G80" s="9"/>
      <c r="H80" s="9"/>
      <c r="I80" s="9"/>
      <c r="J80" s="9"/>
      <c r="K80" s="10"/>
      <c r="L80" s="10"/>
      <c r="M80" s="10"/>
      <c r="N80" s="10"/>
      <c r="O80" s="10"/>
      <c r="P80" s="10"/>
      <c r="Q80" s="10"/>
      <c r="R80" s="11"/>
    </row>
    <row r="81" spans="1:18" ht="12.75" hidden="1">
      <c r="A81" t="s">
        <v>82</v>
      </c>
      <c r="B81" t="s">
        <v>25</v>
      </c>
      <c r="C81" s="10">
        <v>1000</v>
      </c>
      <c r="D81" s="10">
        <v>1000</v>
      </c>
      <c r="E81" s="10"/>
      <c r="F81" s="10">
        <f>D81+E81</f>
        <v>1000</v>
      </c>
      <c r="G81" s="10">
        <v>1000</v>
      </c>
      <c r="H81" s="10">
        <v>1000</v>
      </c>
      <c r="I81" s="10"/>
      <c r="J81" s="10">
        <f>H81+I81</f>
        <v>1000</v>
      </c>
      <c r="K81" s="10">
        <v>1000</v>
      </c>
      <c r="L81" s="10">
        <v>1000</v>
      </c>
      <c r="M81" s="10">
        <v>1000</v>
      </c>
      <c r="N81" s="10">
        <v>1000</v>
      </c>
      <c r="O81" s="10"/>
      <c r="P81" s="10">
        <f>N81+O81</f>
        <v>1000</v>
      </c>
      <c r="Q81" s="10">
        <f>P81-L81</f>
        <v>0</v>
      </c>
      <c r="R81" s="11">
        <f>Q81/L81</f>
        <v>0</v>
      </c>
    </row>
    <row r="82" spans="2:18" ht="12.75" hidden="1">
      <c r="B82" t="s">
        <v>83</v>
      </c>
      <c r="C82" s="10">
        <v>400</v>
      </c>
      <c r="D82" s="10">
        <v>400</v>
      </c>
      <c r="E82" s="10"/>
      <c r="F82" s="10">
        <f>D82+E82</f>
        <v>400</v>
      </c>
      <c r="G82" s="10">
        <v>400</v>
      </c>
      <c r="H82" s="10">
        <v>400</v>
      </c>
      <c r="I82" s="10"/>
      <c r="J82" s="10">
        <f>H82+I82</f>
        <v>400</v>
      </c>
      <c r="K82" s="10">
        <v>400</v>
      </c>
      <c r="L82" s="10">
        <v>400</v>
      </c>
      <c r="M82" s="10">
        <v>400</v>
      </c>
      <c r="N82" s="10">
        <v>400</v>
      </c>
      <c r="O82" s="10"/>
      <c r="P82" s="10">
        <f>N82+O82</f>
        <v>400</v>
      </c>
      <c r="Q82" s="10">
        <f>P82-L82</f>
        <v>0</v>
      </c>
      <c r="R82" s="11">
        <f>Q82/L82</f>
        <v>0</v>
      </c>
    </row>
    <row r="83" spans="2:18" ht="12.75">
      <c r="B83" s="8" t="s">
        <v>27</v>
      </c>
      <c r="C83" s="12">
        <f aca="true" t="shared" si="31" ref="C83:Q83">SUM(C81:C82)</f>
        <v>1400</v>
      </c>
      <c r="D83" s="12">
        <f t="shared" si="31"/>
        <v>1400</v>
      </c>
      <c r="E83" s="12">
        <f t="shared" si="31"/>
        <v>0</v>
      </c>
      <c r="F83" s="12">
        <f t="shared" si="31"/>
        <v>1400</v>
      </c>
      <c r="G83" s="12">
        <f t="shared" si="31"/>
        <v>1400</v>
      </c>
      <c r="H83" s="12">
        <f t="shared" si="31"/>
        <v>1400</v>
      </c>
      <c r="I83" s="12">
        <f t="shared" si="31"/>
        <v>0</v>
      </c>
      <c r="J83" s="12">
        <f t="shared" si="31"/>
        <v>1400</v>
      </c>
      <c r="K83" s="13">
        <f t="shared" si="31"/>
        <v>1400</v>
      </c>
      <c r="L83" s="13">
        <f t="shared" si="31"/>
        <v>1400</v>
      </c>
      <c r="M83" s="13">
        <f>SUM(M81:M82)</f>
        <v>1400</v>
      </c>
      <c r="N83" s="13">
        <f>SUM(N81:N82)</f>
        <v>1400</v>
      </c>
      <c r="O83" s="13">
        <f>SUM(O81:O82)</f>
        <v>0</v>
      </c>
      <c r="P83" s="13">
        <f>SUM(P81:P82)</f>
        <v>1400</v>
      </c>
      <c r="Q83" s="13">
        <f t="shared" si="31"/>
        <v>0</v>
      </c>
      <c r="R83" s="14">
        <f>Q83/L83</f>
        <v>0</v>
      </c>
    </row>
    <row r="84" spans="3:18" ht="12.75" hidden="1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5"/>
    </row>
    <row r="85" spans="2:18" s="16" customFormat="1" ht="12.75">
      <c r="B85" s="17" t="s">
        <v>84</v>
      </c>
      <c r="C85" s="18">
        <f aca="true" t="shared" si="32" ref="C85:Q85">SUM(C83+C79+C76+C72)</f>
        <v>154031</v>
      </c>
      <c r="D85" s="18">
        <f t="shared" si="32"/>
        <v>156656</v>
      </c>
      <c r="E85" s="18">
        <f t="shared" si="32"/>
        <v>-600</v>
      </c>
      <c r="F85" s="18">
        <f t="shared" si="32"/>
        <v>153956</v>
      </c>
      <c r="G85" s="18">
        <f t="shared" si="32"/>
        <v>164522</v>
      </c>
      <c r="H85" s="18">
        <f t="shared" si="32"/>
        <v>162422</v>
      </c>
      <c r="I85" s="18">
        <f t="shared" si="32"/>
        <v>0</v>
      </c>
      <c r="J85" s="18">
        <f t="shared" si="32"/>
        <v>162422</v>
      </c>
      <c r="K85" s="18">
        <f t="shared" si="32"/>
        <v>170073</v>
      </c>
      <c r="L85" s="18">
        <f t="shared" si="32"/>
        <v>170073</v>
      </c>
      <c r="M85" s="18">
        <f>SUM(M83+M79+M76+M72)</f>
        <v>170273</v>
      </c>
      <c r="N85" s="18">
        <f>SUM(N83+N79+N76+N72)</f>
        <v>170273</v>
      </c>
      <c r="O85" s="18">
        <f>SUM(O83+O79+O76+O72)</f>
        <v>0</v>
      </c>
      <c r="P85" s="18">
        <f>SUM(P83+P79+P76+P72)</f>
        <v>170273</v>
      </c>
      <c r="Q85" s="18">
        <f t="shared" si="32"/>
        <v>200</v>
      </c>
      <c r="R85" s="19">
        <f>Q85/L85</f>
        <v>0.0011759656147654243</v>
      </c>
    </row>
    <row r="86" spans="2:18" s="16" customFormat="1" ht="12.7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</row>
    <row r="87" spans="2:16" ht="12.75">
      <c r="B87" s="8" t="s">
        <v>85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8" ht="12.75" hidden="1">
      <c r="A88" t="s">
        <v>86</v>
      </c>
      <c r="B88" t="s">
        <v>87</v>
      </c>
      <c r="C88" s="9">
        <v>75660</v>
      </c>
      <c r="D88" s="9">
        <v>75660</v>
      </c>
      <c r="E88" s="9"/>
      <c r="F88" s="10">
        <f aca="true" t="shared" si="33" ref="F88:F95">D88+E88</f>
        <v>75660</v>
      </c>
      <c r="G88" s="10">
        <v>75600</v>
      </c>
      <c r="H88" s="10">
        <v>75660</v>
      </c>
      <c r="I88" s="9"/>
      <c r="J88" s="10">
        <f aca="true" t="shared" si="34" ref="J88:J95">H88+I88</f>
        <v>75660</v>
      </c>
      <c r="K88" s="10">
        <v>80266</v>
      </c>
      <c r="L88" s="10">
        <v>80266</v>
      </c>
      <c r="M88" s="10">
        <v>80266</v>
      </c>
      <c r="N88" s="10">
        <v>80266</v>
      </c>
      <c r="O88" s="10"/>
      <c r="P88" s="10">
        <f aca="true" t="shared" si="35" ref="P88:P95">N88+O88</f>
        <v>80266</v>
      </c>
      <c r="Q88" s="10">
        <f aca="true" t="shared" si="36" ref="Q88:Q95">P88-L88</f>
        <v>0</v>
      </c>
      <c r="R88" s="11">
        <f aca="true" t="shared" si="37" ref="R88:R95">Q88/L88</f>
        <v>0</v>
      </c>
    </row>
    <row r="89" spans="1:18" ht="12.75" hidden="1">
      <c r="A89" t="s">
        <v>88</v>
      </c>
      <c r="B89" t="s">
        <v>89</v>
      </c>
      <c r="C89" s="9">
        <f>(28.18*35)*52</f>
        <v>51287.6</v>
      </c>
      <c r="D89" s="9">
        <f>(28.18*35)*52</f>
        <v>51287.6</v>
      </c>
      <c r="E89" s="9"/>
      <c r="F89" s="10">
        <f t="shared" si="33"/>
        <v>51287.6</v>
      </c>
      <c r="G89" s="10">
        <v>51288</v>
      </c>
      <c r="H89" s="10">
        <v>51288</v>
      </c>
      <c r="I89" s="9"/>
      <c r="J89" s="10">
        <f t="shared" si="34"/>
        <v>51288</v>
      </c>
      <c r="K89" s="10">
        <v>54411</v>
      </c>
      <c r="L89" s="10">
        <v>54411</v>
      </c>
      <c r="M89" s="10">
        <v>54411</v>
      </c>
      <c r="N89" s="10">
        <v>54411</v>
      </c>
      <c r="O89" s="10"/>
      <c r="P89" s="10">
        <f t="shared" si="35"/>
        <v>54411</v>
      </c>
      <c r="Q89" s="10">
        <f t="shared" si="36"/>
        <v>0</v>
      </c>
      <c r="R89" s="11">
        <f t="shared" si="37"/>
        <v>0</v>
      </c>
    </row>
    <row r="90" spans="1:18" ht="12.75" hidden="1">
      <c r="A90" t="s">
        <v>90</v>
      </c>
      <c r="B90" t="s">
        <v>91</v>
      </c>
      <c r="C90" s="9">
        <f>((18.66*19)+(17.5*19))*52</f>
        <v>35726.08</v>
      </c>
      <c r="D90" s="9">
        <f>((18.66*19)+(17.5*19))*52</f>
        <v>35726.08</v>
      </c>
      <c r="E90" s="9"/>
      <c r="F90" s="10">
        <f t="shared" si="33"/>
        <v>35726.08</v>
      </c>
      <c r="G90" s="10">
        <v>39475</v>
      </c>
      <c r="H90" s="10">
        <v>39475</v>
      </c>
      <c r="I90" s="9"/>
      <c r="J90" s="10">
        <f t="shared" si="34"/>
        <v>39475</v>
      </c>
      <c r="K90" s="10">
        <f>28371+13650</f>
        <v>42021</v>
      </c>
      <c r="L90" s="10">
        <v>40475</v>
      </c>
      <c r="M90" s="10">
        <v>42021</v>
      </c>
      <c r="N90" s="10">
        <v>42021</v>
      </c>
      <c r="O90" s="10"/>
      <c r="P90" s="10">
        <f t="shared" si="35"/>
        <v>42021</v>
      </c>
      <c r="Q90" s="10">
        <f t="shared" si="36"/>
        <v>1546</v>
      </c>
      <c r="R90" s="11">
        <f t="shared" si="37"/>
        <v>0.0381964175416924</v>
      </c>
    </row>
    <row r="91" spans="1:18" ht="12.75" hidden="1">
      <c r="A91" t="s">
        <v>92</v>
      </c>
      <c r="B91" t="s">
        <v>93</v>
      </c>
      <c r="C91" s="9">
        <v>2000</v>
      </c>
      <c r="D91" s="9">
        <v>2000</v>
      </c>
      <c r="E91" s="9"/>
      <c r="F91" s="10">
        <f t="shared" si="33"/>
        <v>2000</v>
      </c>
      <c r="G91" s="10">
        <v>2000</v>
      </c>
      <c r="H91" s="10">
        <v>2000</v>
      </c>
      <c r="I91" s="9"/>
      <c r="J91" s="10">
        <f t="shared" si="34"/>
        <v>2000</v>
      </c>
      <c r="K91" s="10">
        <v>2000</v>
      </c>
      <c r="L91" s="10">
        <v>2000</v>
      </c>
      <c r="M91" s="10">
        <v>2000</v>
      </c>
      <c r="N91" s="10">
        <v>2000</v>
      </c>
      <c r="O91" s="10"/>
      <c r="P91" s="10">
        <f t="shared" si="35"/>
        <v>2000</v>
      </c>
      <c r="Q91" s="10">
        <f t="shared" si="36"/>
        <v>0</v>
      </c>
      <c r="R91" s="11">
        <f t="shared" si="37"/>
        <v>0</v>
      </c>
    </row>
    <row r="92" spans="1:18" ht="12.75" hidden="1">
      <c r="A92" t="s">
        <v>94</v>
      </c>
      <c r="B92" t="s">
        <v>95</v>
      </c>
      <c r="C92" s="9">
        <v>1000</v>
      </c>
      <c r="D92" s="9">
        <v>0</v>
      </c>
      <c r="E92" s="9"/>
      <c r="F92" s="10">
        <f t="shared" si="33"/>
        <v>0</v>
      </c>
      <c r="G92" s="10">
        <v>0</v>
      </c>
      <c r="H92" s="10">
        <v>0</v>
      </c>
      <c r="I92" s="9"/>
      <c r="J92" s="10">
        <f t="shared" si="34"/>
        <v>0</v>
      </c>
      <c r="K92" s="10">
        <v>1000</v>
      </c>
      <c r="L92" s="10"/>
      <c r="M92" s="10">
        <v>1000</v>
      </c>
      <c r="N92" s="10">
        <v>0</v>
      </c>
      <c r="O92" s="10"/>
      <c r="P92" s="10">
        <f t="shared" si="35"/>
        <v>0</v>
      </c>
      <c r="Q92" s="10">
        <f t="shared" si="36"/>
        <v>0</v>
      </c>
      <c r="R92" s="11" t="e">
        <f t="shared" si="37"/>
        <v>#DIV/0!</v>
      </c>
    </row>
    <row r="93" spans="2:18" ht="12.75" hidden="1">
      <c r="B93" t="s">
        <v>76</v>
      </c>
      <c r="C93" s="9">
        <v>0</v>
      </c>
      <c r="D93" s="9">
        <v>0</v>
      </c>
      <c r="E93" s="9"/>
      <c r="F93" s="10">
        <f t="shared" si="33"/>
        <v>0</v>
      </c>
      <c r="G93" s="10">
        <v>0</v>
      </c>
      <c r="H93" s="10">
        <v>0</v>
      </c>
      <c r="I93" s="9"/>
      <c r="J93" s="10">
        <f t="shared" si="34"/>
        <v>0</v>
      </c>
      <c r="K93" s="10">
        <v>1000</v>
      </c>
      <c r="L93" s="10">
        <v>1000</v>
      </c>
      <c r="M93" s="10">
        <v>1000</v>
      </c>
      <c r="N93" s="10">
        <v>1000</v>
      </c>
      <c r="O93" s="10"/>
      <c r="P93" s="10">
        <f t="shared" si="35"/>
        <v>1000</v>
      </c>
      <c r="Q93" s="10">
        <f t="shared" si="36"/>
        <v>0</v>
      </c>
      <c r="R93" s="11">
        <f t="shared" si="37"/>
        <v>0</v>
      </c>
    </row>
    <row r="94" spans="2:18" ht="12.75" hidden="1">
      <c r="B94" t="s">
        <v>39</v>
      </c>
      <c r="C94" s="9">
        <v>2600</v>
      </c>
      <c r="D94" s="9">
        <v>2600</v>
      </c>
      <c r="E94" s="9"/>
      <c r="F94" s="10">
        <f t="shared" si="33"/>
        <v>2600</v>
      </c>
      <c r="G94" s="10">
        <v>2600</v>
      </c>
      <c r="H94" s="10">
        <v>2600</v>
      </c>
      <c r="I94" s="9"/>
      <c r="J94" s="10">
        <f t="shared" si="34"/>
        <v>2600</v>
      </c>
      <c r="K94" s="10">
        <v>2800</v>
      </c>
      <c r="L94" s="10">
        <v>2800</v>
      </c>
      <c r="M94" s="10">
        <f>1400+1700</f>
        <v>3100</v>
      </c>
      <c r="N94" s="10">
        <f>1400+1700</f>
        <v>3100</v>
      </c>
      <c r="O94" s="10"/>
      <c r="P94" s="10">
        <f t="shared" si="35"/>
        <v>3100</v>
      </c>
      <c r="Q94" s="10">
        <f t="shared" si="36"/>
        <v>300</v>
      </c>
      <c r="R94" s="11">
        <f t="shared" si="37"/>
        <v>0.10714285714285714</v>
      </c>
    </row>
    <row r="95" spans="1:18" ht="12.75" hidden="1">
      <c r="A95" t="s">
        <v>96</v>
      </c>
      <c r="B95" t="s">
        <v>97</v>
      </c>
      <c r="C95" s="10">
        <v>2000</v>
      </c>
      <c r="D95" s="10">
        <v>2000</v>
      </c>
      <c r="E95" s="10"/>
      <c r="F95" s="10">
        <f t="shared" si="33"/>
        <v>2000</v>
      </c>
      <c r="G95" s="10">
        <v>2000</v>
      </c>
      <c r="H95" s="10">
        <v>2000</v>
      </c>
      <c r="I95" s="10"/>
      <c r="J95" s="10">
        <f t="shared" si="34"/>
        <v>2000</v>
      </c>
      <c r="K95" s="10">
        <v>2000</v>
      </c>
      <c r="L95" s="10">
        <v>2000</v>
      </c>
      <c r="M95" s="10">
        <v>2000</v>
      </c>
      <c r="N95" s="10">
        <v>2000</v>
      </c>
      <c r="O95" s="10"/>
      <c r="P95" s="10">
        <f t="shared" si="35"/>
        <v>2000</v>
      </c>
      <c r="Q95" s="10">
        <f t="shared" si="36"/>
        <v>0</v>
      </c>
      <c r="R95" s="11">
        <f t="shared" si="37"/>
        <v>0</v>
      </c>
    </row>
    <row r="96" spans="2:18" ht="12.75">
      <c r="B96" s="8" t="s">
        <v>20</v>
      </c>
      <c r="C96" s="12">
        <f aca="true" t="shared" si="38" ref="C96:Q96">SUM(C88:C95)</f>
        <v>170273.68</v>
      </c>
      <c r="D96" s="12">
        <f t="shared" si="38"/>
        <v>169273.68</v>
      </c>
      <c r="E96" s="12">
        <f t="shared" si="38"/>
        <v>0</v>
      </c>
      <c r="F96" s="12">
        <f t="shared" si="38"/>
        <v>169273.68</v>
      </c>
      <c r="G96" s="12">
        <f t="shared" si="38"/>
        <v>172963</v>
      </c>
      <c r="H96" s="12">
        <f t="shared" si="38"/>
        <v>173023</v>
      </c>
      <c r="I96" s="12">
        <f t="shared" si="38"/>
        <v>0</v>
      </c>
      <c r="J96" s="12">
        <f t="shared" si="38"/>
        <v>173023</v>
      </c>
      <c r="K96" s="13">
        <f t="shared" si="38"/>
        <v>185498</v>
      </c>
      <c r="L96" s="13">
        <f>SUM(L88:L95)</f>
        <v>182952</v>
      </c>
      <c r="M96" s="13">
        <f>SUM(M88:M95)</f>
        <v>185798</v>
      </c>
      <c r="N96" s="13">
        <f>SUM(N88:N95)</f>
        <v>184798</v>
      </c>
      <c r="O96" s="13">
        <f>SUM(O88:O95)</f>
        <v>0</v>
      </c>
      <c r="P96" s="13">
        <f>SUM(P88:P95)</f>
        <v>184798</v>
      </c>
      <c r="Q96" s="13">
        <f t="shared" si="38"/>
        <v>1846</v>
      </c>
      <c r="R96" s="14">
        <f>Q96/L96</f>
        <v>0.010090078271896454</v>
      </c>
    </row>
    <row r="97" spans="3:18" ht="12.75" hidden="1">
      <c r="C97" s="9"/>
      <c r="D97" s="9"/>
      <c r="E97" s="9"/>
      <c r="F97" s="9"/>
      <c r="G97" s="9"/>
      <c r="H97" s="9"/>
      <c r="I97" s="9"/>
      <c r="J97" s="9"/>
      <c r="K97" s="10"/>
      <c r="L97" s="10"/>
      <c r="M97" s="10"/>
      <c r="N97" s="10"/>
      <c r="O97" s="10"/>
      <c r="P97" s="10"/>
      <c r="Q97" s="10"/>
      <c r="R97" s="11"/>
    </row>
    <row r="98" spans="1:18" ht="12.75" hidden="1">
      <c r="A98" t="s">
        <v>98</v>
      </c>
      <c r="B98" t="s">
        <v>99</v>
      </c>
      <c r="C98" s="9">
        <v>45000</v>
      </c>
      <c r="D98" s="9">
        <v>0</v>
      </c>
      <c r="E98" s="9"/>
      <c r="F98" s="10">
        <f>D98+E98</f>
        <v>0</v>
      </c>
      <c r="G98" s="10">
        <v>0</v>
      </c>
      <c r="H98" s="10">
        <v>0</v>
      </c>
      <c r="I98" s="9"/>
      <c r="J98" s="10">
        <f>H98+I98</f>
        <v>0</v>
      </c>
      <c r="K98" s="10">
        <v>0</v>
      </c>
      <c r="L98" s="10">
        <v>0</v>
      </c>
      <c r="M98" s="10">
        <v>0</v>
      </c>
      <c r="N98" s="10"/>
      <c r="O98" s="10"/>
      <c r="P98" s="10"/>
      <c r="Q98" s="10">
        <f>P98-L98</f>
        <v>0</v>
      </c>
      <c r="R98" s="11" t="e">
        <f aca="true" t="shared" si="39" ref="R98:R103">Q98/L98</f>
        <v>#DIV/0!</v>
      </c>
    </row>
    <row r="99" spans="1:18" ht="12.75" hidden="1">
      <c r="A99" t="s">
        <v>100</v>
      </c>
      <c r="B99" t="s">
        <v>78</v>
      </c>
      <c r="C99" s="9">
        <f>3500+5950</f>
        <v>9450</v>
      </c>
      <c r="D99" s="9">
        <f>3500+5950</f>
        <v>9450</v>
      </c>
      <c r="E99" s="9"/>
      <c r="F99" s="10">
        <f>D99+E99</f>
        <v>9450</v>
      </c>
      <c r="G99" s="10">
        <f>3500+6200</f>
        <v>9700</v>
      </c>
      <c r="H99" s="10">
        <f>3500+6200</f>
        <v>9700</v>
      </c>
      <c r="I99" s="9"/>
      <c r="J99" s="10">
        <f>H99+I99</f>
        <v>9700</v>
      </c>
      <c r="K99" s="10">
        <f>3500+6400</f>
        <v>9900</v>
      </c>
      <c r="L99" s="10">
        <f>3500+6400</f>
        <v>9900</v>
      </c>
      <c r="M99" s="10">
        <f>3500+140+6625</f>
        <v>10265</v>
      </c>
      <c r="N99" s="10">
        <f>3500+140+6625</f>
        <v>10265</v>
      </c>
      <c r="O99" s="10"/>
      <c r="P99" s="10">
        <f>N99+O99</f>
        <v>10265</v>
      </c>
      <c r="Q99" s="10">
        <f>P99-L99</f>
        <v>365</v>
      </c>
      <c r="R99" s="11">
        <f t="shared" si="39"/>
        <v>0.03686868686868687</v>
      </c>
    </row>
    <row r="100" spans="2:18" ht="12.75" hidden="1">
      <c r="B100" t="s">
        <v>101</v>
      </c>
      <c r="C100" s="9">
        <v>7500</v>
      </c>
      <c r="D100" s="9">
        <v>7500</v>
      </c>
      <c r="E100" s="9"/>
      <c r="F100" s="10">
        <f>D100+E100</f>
        <v>7500</v>
      </c>
      <c r="G100" s="10">
        <v>7500</v>
      </c>
      <c r="H100" s="10">
        <v>7500</v>
      </c>
      <c r="I100" s="9"/>
      <c r="J100" s="10">
        <f>H100+I100</f>
        <v>7500</v>
      </c>
      <c r="K100" s="10">
        <v>7500</v>
      </c>
      <c r="L100" s="10">
        <v>7500</v>
      </c>
      <c r="M100" s="10">
        <v>7500</v>
      </c>
      <c r="N100" s="10">
        <v>7500</v>
      </c>
      <c r="O100" s="10"/>
      <c r="P100" s="10">
        <f>N100+O100</f>
        <v>7500</v>
      </c>
      <c r="Q100" s="10">
        <f>P100-L100</f>
        <v>0</v>
      </c>
      <c r="R100" s="11">
        <f t="shared" si="39"/>
        <v>0</v>
      </c>
    </row>
    <row r="101" spans="1:18" ht="12.75" hidden="1">
      <c r="A101" t="s">
        <v>102</v>
      </c>
      <c r="B101" t="s">
        <v>103</v>
      </c>
      <c r="C101" s="9">
        <v>10000</v>
      </c>
      <c r="D101" s="9">
        <v>10000</v>
      </c>
      <c r="E101" s="9"/>
      <c r="F101" s="10">
        <f>D101+E101</f>
        <v>10000</v>
      </c>
      <c r="G101" s="10">
        <v>10000</v>
      </c>
      <c r="H101" s="10">
        <v>10000</v>
      </c>
      <c r="I101" s="9"/>
      <c r="J101" s="10">
        <f>H101+I101</f>
        <v>10000</v>
      </c>
      <c r="K101" s="10">
        <v>10000</v>
      </c>
      <c r="L101" s="10">
        <v>10000</v>
      </c>
      <c r="M101" s="10">
        <v>10000</v>
      </c>
      <c r="N101" s="10">
        <v>10000</v>
      </c>
      <c r="O101" s="10"/>
      <c r="P101" s="10">
        <f>N101+O101</f>
        <v>10000</v>
      </c>
      <c r="Q101" s="10">
        <f>P101-L101</f>
        <v>0</v>
      </c>
      <c r="R101" s="11">
        <f t="shared" si="39"/>
        <v>0</v>
      </c>
    </row>
    <row r="102" spans="1:18" ht="12.75" hidden="1">
      <c r="A102" t="s">
        <v>104</v>
      </c>
      <c r="B102" t="s">
        <v>105</v>
      </c>
      <c r="C102" s="9">
        <v>700</v>
      </c>
      <c r="D102" s="9">
        <v>700</v>
      </c>
      <c r="E102" s="9"/>
      <c r="F102" s="10">
        <f>D102+E102</f>
        <v>700</v>
      </c>
      <c r="G102" s="10">
        <v>700</v>
      </c>
      <c r="H102" s="10">
        <v>700</v>
      </c>
      <c r="I102" s="9"/>
      <c r="J102" s="10">
        <f>H102+I102</f>
        <v>700</v>
      </c>
      <c r="K102" s="10">
        <v>700</v>
      </c>
      <c r="L102" s="10">
        <v>700</v>
      </c>
      <c r="M102" s="10">
        <v>700</v>
      </c>
      <c r="N102" s="10">
        <v>700</v>
      </c>
      <c r="O102" s="10"/>
      <c r="P102" s="10">
        <f>N102+O102</f>
        <v>700</v>
      </c>
      <c r="Q102" s="10">
        <f>P102-L102</f>
        <v>0</v>
      </c>
      <c r="R102" s="11">
        <f t="shared" si="39"/>
        <v>0</v>
      </c>
    </row>
    <row r="103" spans="2:18" ht="12.75">
      <c r="B103" s="8" t="s">
        <v>23</v>
      </c>
      <c r="C103" s="12">
        <f aca="true" t="shared" si="40" ref="C103:Q103">SUM(C98:C102)</f>
        <v>72650</v>
      </c>
      <c r="D103" s="12">
        <f t="shared" si="40"/>
        <v>27650</v>
      </c>
      <c r="E103" s="12">
        <f t="shared" si="40"/>
        <v>0</v>
      </c>
      <c r="F103" s="12">
        <f t="shared" si="40"/>
        <v>27650</v>
      </c>
      <c r="G103" s="12">
        <f t="shared" si="40"/>
        <v>27900</v>
      </c>
      <c r="H103" s="12">
        <f t="shared" si="40"/>
        <v>27900</v>
      </c>
      <c r="I103" s="12">
        <f t="shared" si="40"/>
        <v>0</v>
      </c>
      <c r="J103" s="12">
        <f t="shared" si="40"/>
        <v>27900</v>
      </c>
      <c r="K103" s="13">
        <f t="shared" si="40"/>
        <v>28100</v>
      </c>
      <c r="L103" s="13">
        <f>SUM(L98:L102)</f>
        <v>28100</v>
      </c>
      <c r="M103" s="13">
        <f>SUM(M98:M102)</f>
        <v>28465</v>
      </c>
      <c r="N103" s="13">
        <f>SUM(N98:N102)</f>
        <v>28465</v>
      </c>
      <c r="O103" s="13">
        <f>SUM(O98:O102)</f>
        <v>0</v>
      </c>
      <c r="P103" s="13">
        <f>SUM(P98:P102)</f>
        <v>28465</v>
      </c>
      <c r="Q103" s="13">
        <f t="shared" si="40"/>
        <v>365</v>
      </c>
      <c r="R103" s="14">
        <f t="shared" si="39"/>
        <v>0.01298932384341637</v>
      </c>
    </row>
    <row r="104" spans="3:18" ht="12.75" hidden="1">
      <c r="C104" s="9"/>
      <c r="D104" s="9"/>
      <c r="E104" s="9"/>
      <c r="F104" s="9"/>
      <c r="G104" s="9"/>
      <c r="H104" s="9"/>
      <c r="I104" s="9"/>
      <c r="J104" s="9"/>
      <c r="K104" s="10"/>
      <c r="L104" s="10"/>
      <c r="M104" s="10"/>
      <c r="N104" s="10"/>
      <c r="O104" s="10"/>
      <c r="P104" s="10"/>
      <c r="Q104" s="10"/>
      <c r="R104" s="11"/>
    </row>
    <row r="105" spans="1:18" ht="12.75" hidden="1">
      <c r="A105" t="s">
        <v>106</v>
      </c>
      <c r="B105" t="s">
        <v>52</v>
      </c>
      <c r="C105" s="10">
        <v>1300</v>
      </c>
      <c r="D105" s="10">
        <v>1300</v>
      </c>
      <c r="E105" s="10">
        <v>-250</v>
      </c>
      <c r="F105" s="10">
        <f>D105+E105</f>
        <v>1050</v>
      </c>
      <c r="G105" s="10">
        <v>1050</v>
      </c>
      <c r="H105" s="10">
        <v>1050</v>
      </c>
      <c r="I105" s="10"/>
      <c r="J105" s="10">
        <f>H105+I105</f>
        <v>1050</v>
      </c>
      <c r="K105" s="10">
        <v>1300</v>
      </c>
      <c r="L105" s="10">
        <v>1050</v>
      </c>
      <c r="M105" s="10">
        <v>1300</v>
      </c>
      <c r="N105" s="10">
        <v>1300</v>
      </c>
      <c r="O105" s="10"/>
      <c r="P105" s="10">
        <f>N105+O105</f>
        <v>1300</v>
      </c>
      <c r="Q105" s="10">
        <f>P105-L105</f>
        <v>250</v>
      </c>
      <c r="R105" s="11">
        <f>Q105/L105</f>
        <v>0.23809523809523808</v>
      </c>
    </row>
    <row r="106" spans="2:18" ht="12.75" hidden="1">
      <c r="B106" t="s">
        <v>107</v>
      </c>
      <c r="C106" s="10">
        <v>1500</v>
      </c>
      <c r="D106" s="10">
        <v>1500</v>
      </c>
      <c r="E106" s="10"/>
      <c r="F106" s="10">
        <f>D106+E106</f>
        <v>1500</v>
      </c>
      <c r="G106" s="10">
        <v>1500</v>
      </c>
      <c r="H106" s="10">
        <v>1000</v>
      </c>
      <c r="I106" s="10"/>
      <c r="J106" s="10">
        <f>H106+I106</f>
        <v>1000</v>
      </c>
      <c r="K106" s="10">
        <v>1150</v>
      </c>
      <c r="L106" s="10">
        <v>1150</v>
      </c>
      <c r="M106" s="10">
        <v>1150</v>
      </c>
      <c r="N106" s="10">
        <v>1150</v>
      </c>
      <c r="O106" s="10"/>
      <c r="P106" s="10">
        <f>N106+O106</f>
        <v>1150</v>
      </c>
      <c r="Q106" s="10">
        <f>P106-L106</f>
        <v>0</v>
      </c>
      <c r="R106" s="11">
        <f>Q106/L106</f>
        <v>0</v>
      </c>
    </row>
    <row r="107" spans="2:18" ht="12.75">
      <c r="B107" s="8" t="s">
        <v>53</v>
      </c>
      <c r="C107" s="12">
        <f aca="true" t="shared" si="41" ref="C107:Q107">SUM(C105:C106)</f>
        <v>2800</v>
      </c>
      <c r="D107" s="12">
        <f t="shared" si="41"/>
        <v>2800</v>
      </c>
      <c r="E107" s="12">
        <f t="shared" si="41"/>
        <v>-250</v>
      </c>
      <c r="F107" s="12">
        <f t="shared" si="41"/>
        <v>2550</v>
      </c>
      <c r="G107" s="12">
        <f t="shared" si="41"/>
        <v>2550</v>
      </c>
      <c r="H107" s="12">
        <f t="shared" si="41"/>
        <v>2050</v>
      </c>
      <c r="I107" s="12">
        <f t="shared" si="41"/>
        <v>0</v>
      </c>
      <c r="J107" s="12">
        <f t="shared" si="41"/>
        <v>2050</v>
      </c>
      <c r="K107" s="13">
        <f t="shared" si="41"/>
        <v>2450</v>
      </c>
      <c r="L107" s="13">
        <f>SUM(L105:L106)</f>
        <v>2200</v>
      </c>
      <c r="M107" s="13">
        <f>SUM(M105:M106)</f>
        <v>2450</v>
      </c>
      <c r="N107" s="13">
        <f>SUM(N105:N106)</f>
        <v>2450</v>
      </c>
      <c r="O107" s="13">
        <f>SUM(O105:O106)</f>
        <v>0</v>
      </c>
      <c r="P107" s="13">
        <f>SUM(P105:P106)</f>
        <v>2450</v>
      </c>
      <c r="Q107" s="13">
        <f t="shared" si="41"/>
        <v>250</v>
      </c>
      <c r="R107" s="14">
        <f>Q107/L107</f>
        <v>0.11363636363636363</v>
      </c>
    </row>
    <row r="108" spans="3:18" ht="12.75" hidden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1"/>
    </row>
    <row r="109" spans="1:18" ht="12.75" hidden="1">
      <c r="A109" t="s">
        <v>108</v>
      </c>
      <c r="B109" t="s">
        <v>25</v>
      </c>
      <c r="C109" s="10">
        <v>6000</v>
      </c>
      <c r="D109" s="10">
        <v>6000</v>
      </c>
      <c r="E109" s="10">
        <v>-250</v>
      </c>
      <c r="F109" s="10">
        <f>D109+E109</f>
        <v>5750</v>
      </c>
      <c r="G109" s="10">
        <v>5750</v>
      </c>
      <c r="H109" s="10">
        <v>7250</v>
      </c>
      <c r="I109" s="10"/>
      <c r="J109" s="10">
        <f>H109+I109</f>
        <v>7250</v>
      </c>
      <c r="K109" s="10">
        <f>1650+4300+650+650</f>
        <v>7250</v>
      </c>
      <c r="L109" s="10">
        <f>1650+4300+650+650</f>
        <v>7250</v>
      </c>
      <c r="M109" s="10">
        <v>7250</v>
      </c>
      <c r="N109" s="10">
        <v>7250</v>
      </c>
      <c r="O109" s="10"/>
      <c r="P109" s="10">
        <f>N109+O109</f>
        <v>7250</v>
      </c>
      <c r="Q109" s="10">
        <f>P109-L109</f>
        <v>0</v>
      </c>
      <c r="R109" s="11">
        <f>Q109/L109</f>
        <v>0</v>
      </c>
    </row>
    <row r="110" spans="2:18" ht="12.75" hidden="1">
      <c r="B110" t="s">
        <v>55</v>
      </c>
      <c r="C110" s="26">
        <f>150+465</f>
        <v>615</v>
      </c>
      <c r="D110" s="26">
        <f>150+465</f>
        <v>615</v>
      </c>
      <c r="E110" s="26"/>
      <c r="F110" s="10">
        <f>D110+E110</f>
        <v>615</v>
      </c>
      <c r="G110" s="10">
        <v>650</v>
      </c>
      <c r="H110" s="10">
        <v>650</v>
      </c>
      <c r="I110" s="26"/>
      <c r="J110" s="10">
        <f>H110+I110</f>
        <v>650</v>
      </c>
      <c r="K110" s="10">
        <v>650</v>
      </c>
      <c r="L110" s="10">
        <v>650</v>
      </c>
      <c r="M110" s="10">
        <v>1325</v>
      </c>
      <c r="N110" s="10">
        <v>1325</v>
      </c>
      <c r="O110" s="10"/>
      <c r="P110" s="10">
        <f>N110+O110</f>
        <v>1325</v>
      </c>
      <c r="Q110" s="10">
        <f>P110-L110</f>
        <v>675</v>
      </c>
      <c r="R110" s="11">
        <f>Q110/L110</f>
        <v>1.0384615384615385</v>
      </c>
    </row>
    <row r="111" spans="2:18" ht="12.75">
      <c r="B111" s="8" t="s">
        <v>27</v>
      </c>
      <c r="C111" s="12">
        <f aca="true" t="shared" si="42" ref="C111:Q111">SUM(C109:C110)</f>
        <v>6615</v>
      </c>
      <c r="D111" s="12">
        <f t="shared" si="42"/>
        <v>6615</v>
      </c>
      <c r="E111" s="12">
        <f t="shared" si="42"/>
        <v>-250</v>
      </c>
      <c r="F111" s="12">
        <f t="shared" si="42"/>
        <v>6365</v>
      </c>
      <c r="G111" s="12">
        <f t="shared" si="42"/>
        <v>6400</v>
      </c>
      <c r="H111" s="12">
        <f t="shared" si="42"/>
        <v>7900</v>
      </c>
      <c r="I111" s="12">
        <f t="shared" si="42"/>
        <v>0</v>
      </c>
      <c r="J111" s="12">
        <f t="shared" si="42"/>
        <v>7900</v>
      </c>
      <c r="K111" s="13">
        <f t="shared" si="42"/>
        <v>7900</v>
      </c>
      <c r="L111" s="13">
        <f t="shared" si="42"/>
        <v>7900</v>
      </c>
      <c r="M111" s="13">
        <f t="shared" si="42"/>
        <v>8575</v>
      </c>
      <c r="N111" s="13">
        <f t="shared" si="42"/>
        <v>8575</v>
      </c>
      <c r="O111" s="13">
        <f t="shared" si="42"/>
        <v>0</v>
      </c>
      <c r="P111" s="13">
        <f t="shared" si="42"/>
        <v>8575</v>
      </c>
      <c r="Q111" s="13">
        <f t="shared" si="42"/>
        <v>675</v>
      </c>
      <c r="R111" s="14">
        <f>Q111/L111</f>
        <v>0.08544303797468354</v>
      </c>
    </row>
    <row r="112" spans="3:18" ht="12.75" hidden="1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5"/>
    </row>
    <row r="113" spans="2:18" s="16" customFormat="1" ht="12.75">
      <c r="B113" s="17" t="s">
        <v>109</v>
      </c>
      <c r="C113" s="18">
        <f aca="true" t="shared" si="43" ref="C113:Q113">C96+C103+C107+C111</f>
        <v>252338.68</v>
      </c>
      <c r="D113" s="18">
        <f t="shared" si="43"/>
        <v>206338.68</v>
      </c>
      <c r="E113" s="18">
        <f t="shared" si="43"/>
        <v>-500</v>
      </c>
      <c r="F113" s="18">
        <f t="shared" si="43"/>
        <v>205838.68</v>
      </c>
      <c r="G113" s="18">
        <f t="shared" si="43"/>
        <v>209813</v>
      </c>
      <c r="H113" s="18">
        <f t="shared" si="43"/>
        <v>210873</v>
      </c>
      <c r="I113" s="18">
        <f t="shared" si="43"/>
        <v>0</v>
      </c>
      <c r="J113" s="18">
        <f t="shared" si="43"/>
        <v>210873</v>
      </c>
      <c r="K113" s="18">
        <f t="shared" si="43"/>
        <v>223948</v>
      </c>
      <c r="L113" s="18">
        <f t="shared" si="43"/>
        <v>221152</v>
      </c>
      <c r="M113" s="18">
        <f>M96+M103+M107+M111</f>
        <v>225288</v>
      </c>
      <c r="N113" s="18">
        <f>N96+N103+N107+N111</f>
        <v>224288</v>
      </c>
      <c r="O113" s="18">
        <f>O96+O103+O107+O111</f>
        <v>0</v>
      </c>
      <c r="P113" s="18">
        <f>P96+P103+P107+P111</f>
        <v>224288</v>
      </c>
      <c r="Q113" s="18">
        <f t="shared" si="43"/>
        <v>3136</v>
      </c>
      <c r="R113" s="19">
        <f>Q113/L113</f>
        <v>0.014180292287657359</v>
      </c>
    </row>
    <row r="114" spans="3:17" ht="12.7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9"/>
    </row>
    <row r="115" spans="2:16" ht="12.75">
      <c r="B115" s="8" t="s">
        <v>110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8" ht="12.75" hidden="1">
      <c r="A116" t="s">
        <v>111</v>
      </c>
      <c r="B116" t="s">
        <v>112</v>
      </c>
      <c r="C116" s="9">
        <v>60002</v>
      </c>
      <c r="D116" s="9">
        <v>60002</v>
      </c>
      <c r="E116" s="9"/>
      <c r="F116" s="10">
        <f aca="true" t="shared" si="44" ref="F116:F121">D116+E116</f>
        <v>60002</v>
      </c>
      <c r="G116" s="10">
        <v>60002</v>
      </c>
      <c r="H116" s="10">
        <v>60002</v>
      </c>
      <c r="I116" s="9"/>
      <c r="J116" s="10">
        <f aca="true" t="shared" si="45" ref="J116:J121">H116+I116</f>
        <v>60002</v>
      </c>
      <c r="K116" s="10">
        <v>63655</v>
      </c>
      <c r="L116" s="10">
        <v>63655</v>
      </c>
      <c r="M116" s="10">
        <v>63655</v>
      </c>
      <c r="N116" s="10">
        <v>63655</v>
      </c>
      <c r="O116" s="10"/>
      <c r="P116" s="10">
        <f aca="true" t="shared" si="46" ref="P116:P121">N116+O116</f>
        <v>63655</v>
      </c>
      <c r="Q116" s="10">
        <f aca="true" t="shared" si="47" ref="Q116:Q121">P116-L116</f>
        <v>0</v>
      </c>
      <c r="R116" s="11">
        <f aca="true" t="shared" si="48" ref="R116:R121">Q116/L116</f>
        <v>0</v>
      </c>
    </row>
    <row r="117" spans="1:18" ht="12.75" hidden="1">
      <c r="A117" t="s">
        <v>113</v>
      </c>
      <c r="B117" t="s">
        <v>114</v>
      </c>
      <c r="C117" s="9">
        <v>39549</v>
      </c>
      <c r="D117" s="9">
        <v>39549</v>
      </c>
      <c r="E117" s="9"/>
      <c r="F117" s="10">
        <f t="shared" si="44"/>
        <v>39549</v>
      </c>
      <c r="G117" s="10">
        <v>39549</v>
      </c>
      <c r="H117" s="10">
        <v>39549</v>
      </c>
      <c r="I117" s="9"/>
      <c r="J117" s="10">
        <f t="shared" si="45"/>
        <v>39549</v>
      </c>
      <c r="K117" s="10">
        <v>41957</v>
      </c>
      <c r="L117" s="10">
        <v>41957</v>
      </c>
      <c r="M117" s="10">
        <v>41957</v>
      </c>
      <c r="N117" s="10">
        <v>43732</v>
      </c>
      <c r="O117" s="10"/>
      <c r="P117" s="10">
        <f t="shared" si="46"/>
        <v>43732</v>
      </c>
      <c r="Q117" s="10">
        <f t="shared" si="47"/>
        <v>1775</v>
      </c>
      <c r="R117" s="11">
        <f t="shared" si="48"/>
        <v>0.04230521724622828</v>
      </c>
    </row>
    <row r="118" spans="2:18" ht="12.75" hidden="1">
      <c r="B118" t="s">
        <v>115</v>
      </c>
      <c r="C118" s="9"/>
      <c r="D118" s="9"/>
      <c r="E118" s="9"/>
      <c r="F118" s="10">
        <f t="shared" si="44"/>
        <v>0</v>
      </c>
      <c r="G118" s="10"/>
      <c r="H118" s="10"/>
      <c r="I118" s="9"/>
      <c r="J118" s="10">
        <f t="shared" si="45"/>
        <v>0</v>
      </c>
      <c r="K118" s="10">
        <v>6000</v>
      </c>
      <c r="L118" s="10">
        <v>3000</v>
      </c>
      <c r="M118" s="10">
        <v>15000</v>
      </c>
      <c r="N118" s="10">
        <v>3000</v>
      </c>
      <c r="O118" s="10"/>
      <c r="P118" s="10">
        <f t="shared" si="46"/>
        <v>3000</v>
      </c>
      <c r="Q118" s="10">
        <f t="shared" si="47"/>
        <v>0</v>
      </c>
      <c r="R118" s="11">
        <f t="shared" si="48"/>
        <v>0</v>
      </c>
    </row>
    <row r="119" spans="1:18" ht="12.75" hidden="1">
      <c r="A119" t="s">
        <v>116</v>
      </c>
      <c r="B119" t="s">
        <v>117</v>
      </c>
      <c r="C119" s="9">
        <v>1000</v>
      </c>
      <c r="D119" s="9">
        <v>1000</v>
      </c>
      <c r="E119" s="9"/>
      <c r="F119" s="10">
        <f t="shared" si="44"/>
        <v>1000</v>
      </c>
      <c r="G119" s="10">
        <v>1000</v>
      </c>
      <c r="H119" s="10">
        <v>1000</v>
      </c>
      <c r="I119" s="9"/>
      <c r="J119" s="10">
        <f t="shared" si="45"/>
        <v>1000</v>
      </c>
      <c r="K119" s="10">
        <v>1000</v>
      </c>
      <c r="L119" s="10">
        <v>1000</v>
      </c>
      <c r="M119" s="10">
        <v>1000</v>
      </c>
      <c r="N119" s="10">
        <v>1000</v>
      </c>
      <c r="O119" s="10"/>
      <c r="P119" s="10">
        <f t="shared" si="46"/>
        <v>1000</v>
      </c>
      <c r="Q119" s="10">
        <f t="shared" si="47"/>
        <v>0</v>
      </c>
      <c r="R119" s="11">
        <f t="shared" si="48"/>
        <v>0</v>
      </c>
    </row>
    <row r="120" spans="2:18" ht="12.75" hidden="1">
      <c r="B120" t="s">
        <v>76</v>
      </c>
      <c r="C120" s="9">
        <v>1500</v>
      </c>
      <c r="D120" s="9">
        <v>1500</v>
      </c>
      <c r="E120" s="9"/>
      <c r="F120" s="10">
        <f t="shared" si="44"/>
        <v>1500</v>
      </c>
      <c r="G120" s="10">
        <v>1500</v>
      </c>
      <c r="H120" s="10">
        <v>1500</v>
      </c>
      <c r="I120" s="9"/>
      <c r="J120" s="10">
        <f t="shared" si="45"/>
        <v>1500</v>
      </c>
      <c r="K120" s="10">
        <v>1500</v>
      </c>
      <c r="L120" s="10">
        <v>1500</v>
      </c>
      <c r="M120" s="10">
        <v>1500</v>
      </c>
      <c r="N120" s="10">
        <v>1500</v>
      </c>
      <c r="O120" s="10"/>
      <c r="P120" s="10">
        <f t="shared" si="46"/>
        <v>1500</v>
      </c>
      <c r="Q120" s="10">
        <f t="shared" si="47"/>
        <v>0</v>
      </c>
      <c r="R120" s="11">
        <f t="shared" si="48"/>
        <v>0</v>
      </c>
    </row>
    <row r="121" spans="1:18" ht="12.75" hidden="1">
      <c r="A121" t="s">
        <v>118</v>
      </c>
      <c r="B121" t="s">
        <v>39</v>
      </c>
      <c r="C121" s="9">
        <v>2900</v>
      </c>
      <c r="D121" s="9">
        <v>2900</v>
      </c>
      <c r="E121" s="9"/>
      <c r="F121" s="10">
        <f t="shared" si="44"/>
        <v>2900</v>
      </c>
      <c r="G121" s="10">
        <v>2900</v>
      </c>
      <c r="H121" s="10">
        <v>2900</v>
      </c>
      <c r="I121" s="9"/>
      <c r="J121" s="10">
        <f t="shared" si="45"/>
        <v>2900</v>
      </c>
      <c r="K121" s="10">
        <v>3100</v>
      </c>
      <c r="L121" s="10">
        <v>3100</v>
      </c>
      <c r="M121" s="10">
        <v>3100</v>
      </c>
      <c r="N121" s="10">
        <v>3100</v>
      </c>
      <c r="O121" s="10"/>
      <c r="P121" s="10">
        <f t="shared" si="46"/>
        <v>3100</v>
      </c>
      <c r="Q121" s="10">
        <f t="shared" si="47"/>
        <v>0</v>
      </c>
      <c r="R121" s="11">
        <f t="shared" si="48"/>
        <v>0</v>
      </c>
    </row>
    <row r="122" spans="2:18" ht="12.75">
      <c r="B122" s="8" t="s">
        <v>20</v>
      </c>
      <c r="C122" s="12">
        <f aca="true" t="shared" si="49" ref="C122:Q122">SUM(C116:C121)</f>
        <v>104951</v>
      </c>
      <c r="D122" s="12">
        <f t="shared" si="49"/>
        <v>104951</v>
      </c>
      <c r="E122" s="12">
        <f t="shared" si="49"/>
        <v>0</v>
      </c>
      <c r="F122" s="12">
        <f t="shared" si="49"/>
        <v>104951</v>
      </c>
      <c r="G122" s="12">
        <f t="shared" si="49"/>
        <v>104951</v>
      </c>
      <c r="H122" s="12">
        <f t="shared" si="49"/>
        <v>104951</v>
      </c>
      <c r="I122" s="12">
        <f t="shared" si="49"/>
        <v>0</v>
      </c>
      <c r="J122" s="12">
        <f t="shared" si="49"/>
        <v>104951</v>
      </c>
      <c r="K122" s="13">
        <f t="shared" si="49"/>
        <v>117212</v>
      </c>
      <c r="L122" s="13">
        <f>SUM(L116:L121)</f>
        <v>114212</v>
      </c>
      <c r="M122" s="13">
        <f>SUM(M116:M121)</f>
        <v>126212</v>
      </c>
      <c r="N122" s="13">
        <f>SUM(N116:N121)</f>
        <v>115987</v>
      </c>
      <c r="O122" s="13">
        <f>SUM(O116:O121)</f>
        <v>0</v>
      </c>
      <c r="P122" s="13">
        <f>SUM(P116:P121)</f>
        <v>115987</v>
      </c>
      <c r="Q122" s="13">
        <f t="shared" si="49"/>
        <v>1775</v>
      </c>
      <c r="R122" s="14">
        <f>Q122/L122</f>
        <v>0.015541274121808566</v>
      </c>
    </row>
    <row r="123" spans="3:18" ht="12.75" hidden="1">
      <c r="C123" s="9"/>
      <c r="D123" s="9"/>
      <c r="E123" s="9"/>
      <c r="F123" s="9"/>
      <c r="G123" s="9"/>
      <c r="H123" s="9"/>
      <c r="I123" s="9"/>
      <c r="J123" s="9"/>
      <c r="K123" s="10"/>
      <c r="L123" s="10"/>
      <c r="M123" s="10"/>
      <c r="N123" s="10"/>
      <c r="O123" s="10"/>
      <c r="P123" s="10"/>
      <c r="Q123" s="10"/>
      <c r="R123" s="11"/>
    </row>
    <row r="124" spans="1:18" ht="12.75" hidden="1">
      <c r="A124" t="s">
        <v>119</v>
      </c>
      <c r="C124" s="9"/>
      <c r="D124" s="9"/>
      <c r="E124" s="9"/>
      <c r="F124" s="9"/>
      <c r="G124" s="9"/>
      <c r="H124" s="9"/>
      <c r="I124" s="9"/>
      <c r="J124" s="9"/>
      <c r="K124" s="10"/>
      <c r="L124" s="10"/>
      <c r="M124" s="10"/>
      <c r="N124" s="10"/>
      <c r="O124" s="10"/>
      <c r="P124" s="10"/>
      <c r="Q124" s="10"/>
      <c r="R124" s="11"/>
    </row>
    <row r="125" spans="1:18" ht="12.75" hidden="1">
      <c r="A125" t="s">
        <v>120</v>
      </c>
      <c r="B125" t="s">
        <v>103</v>
      </c>
      <c r="C125" s="9">
        <v>13000</v>
      </c>
      <c r="D125" s="9">
        <v>13000</v>
      </c>
      <c r="E125" s="9"/>
      <c r="F125" s="10">
        <f>D125+E125</f>
        <v>13000</v>
      </c>
      <c r="G125" s="10">
        <v>13000</v>
      </c>
      <c r="H125" s="10">
        <v>13000</v>
      </c>
      <c r="I125" s="9"/>
      <c r="J125" s="10">
        <f>H125+I125</f>
        <v>13000</v>
      </c>
      <c r="K125" s="10">
        <v>13000</v>
      </c>
      <c r="L125" s="10">
        <v>13000</v>
      </c>
      <c r="M125" s="10">
        <v>13000</v>
      </c>
      <c r="N125" s="10">
        <v>13000</v>
      </c>
      <c r="O125" s="10"/>
      <c r="P125" s="10">
        <f>N125+O125</f>
        <v>13000</v>
      </c>
      <c r="Q125" s="10">
        <f>P125-L125</f>
        <v>0</v>
      </c>
      <c r="R125" s="11">
        <f>Q125/L125</f>
        <v>0</v>
      </c>
    </row>
    <row r="126" spans="2:18" ht="12.75" hidden="1">
      <c r="B126" t="s">
        <v>121</v>
      </c>
      <c r="C126" s="10">
        <v>4600</v>
      </c>
      <c r="D126" s="10">
        <v>4600</v>
      </c>
      <c r="E126" s="10"/>
      <c r="F126" s="10">
        <f>D126+E126</f>
        <v>4600</v>
      </c>
      <c r="G126" s="10">
        <v>6000</v>
      </c>
      <c r="H126" s="10">
        <v>6000</v>
      </c>
      <c r="I126" s="10"/>
      <c r="J126" s="10">
        <f>H126+I126</f>
        <v>6000</v>
      </c>
      <c r="K126" s="10">
        <v>6000</v>
      </c>
      <c r="L126" s="10">
        <v>6000</v>
      </c>
      <c r="M126" s="10">
        <v>7000</v>
      </c>
      <c r="N126" s="10">
        <v>7000</v>
      </c>
      <c r="O126" s="10"/>
      <c r="P126" s="10">
        <f>N126+O126</f>
        <v>7000</v>
      </c>
      <c r="Q126" s="10">
        <f>P126-L126</f>
        <v>1000</v>
      </c>
      <c r="R126" s="11">
        <f>Q126/L126</f>
        <v>0.16666666666666666</v>
      </c>
    </row>
    <row r="127" spans="1:18" ht="12.75" hidden="1">
      <c r="A127" t="s">
        <v>122</v>
      </c>
      <c r="B127" t="s">
        <v>123</v>
      </c>
      <c r="C127" s="24">
        <v>50000</v>
      </c>
      <c r="D127" s="10">
        <v>40000</v>
      </c>
      <c r="E127" s="10"/>
      <c r="F127" s="10">
        <f>D127+E127</f>
        <v>40000</v>
      </c>
      <c r="G127" s="10">
        <v>50000</v>
      </c>
      <c r="H127" s="10">
        <v>45000</v>
      </c>
      <c r="I127" s="10"/>
      <c r="J127" s="10">
        <f>H127+I127</f>
        <v>45000</v>
      </c>
      <c r="K127" s="10">
        <v>45000</v>
      </c>
      <c r="L127" s="10">
        <v>40000</v>
      </c>
      <c r="M127" s="10">
        <v>40000</v>
      </c>
      <c r="N127" s="10">
        <v>25000</v>
      </c>
      <c r="O127" s="10"/>
      <c r="P127" s="10">
        <f>N127+O127</f>
        <v>25000</v>
      </c>
      <c r="Q127" s="10">
        <f>P127-L127</f>
        <v>-15000</v>
      </c>
      <c r="R127" s="11">
        <f>Q127/L127</f>
        <v>-0.375</v>
      </c>
    </row>
    <row r="128" spans="2:18" ht="12.75">
      <c r="B128" s="27" t="s">
        <v>23</v>
      </c>
      <c r="C128" s="25">
        <f aca="true" t="shared" si="50" ref="C128:Q128">SUM(C124:C127)</f>
        <v>67600</v>
      </c>
      <c r="D128" s="12">
        <f t="shared" si="50"/>
        <v>57600</v>
      </c>
      <c r="E128" s="12">
        <f t="shared" si="50"/>
        <v>0</v>
      </c>
      <c r="F128" s="12">
        <f t="shared" si="50"/>
        <v>57600</v>
      </c>
      <c r="G128" s="12">
        <f t="shared" si="50"/>
        <v>69000</v>
      </c>
      <c r="H128" s="12">
        <f t="shared" si="50"/>
        <v>64000</v>
      </c>
      <c r="I128" s="12">
        <f t="shared" si="50"/>
        <v>0</v>
      </c>
      <c r="J128" s="12">
        <f t="shared" si="50"/>
        <v>64000</v>
      </c>
      <c r="K128" s="13">
        <f t="shared" si="50"/>
        <v>64000</v>
      </c>
      <c r="L128" s="13">
        <f>SUM(L124:L127)</f>
        <v>59000</v>
      </c>
      <c r="M128" s="13">
        <f>SUM(M124:M127)</f>
        <v>60000</v>
      </c>
      <c r="N128" s="13">
        <f>SUM(N124:N127)</f>
        <v>45000</v>
      </c>
      <c r="O128" s="13">
        <f>SUM(O124:O127)</f>
        <v>0</v>
      </c>
      <c r="P128" s="13">
        <f>SUM(P124:P127)</f>
        <v>45000</v>
      </c>
      <c r="Q128" s="13">
        <f t="shared" si="50"/>
        <v>-14000</v>
      </c>
      <c r="R128" s="14">
        <f>Q128/L128</f>
        <v>-0.23728813559322035</v>
      </c>
    </row>
    <row r="129" spans="3:18" ht="12.75" hidden="1">
      <c r="C129" s="9"/>
      <c r="D129" s="9"/>
      <c r="E129" s="9"/>
      <c r="F129" s="9"/>
      <c r="G129" s="9"/>
      <c r="H129" s="9"/>
      <c r="I129" s="9"/>
      <c r="J129" s="9"/>
      <c r="K129" s="10"/>
      <c r="L129" s="10"/>
      <c r="M129" s="10"/>
      <c r="N129" s="10"/>
      <c r="O129" s="10"/>
      <c r="P129" s="10"/>
      <c r="Q129" s="10"/>
      <c r="R129" s="11"/>
    </row>
    <row r="130" spans="1:18" ht="12.75" hidden="1">
      <c r="A130" t="s">
        <v>124</v>
      </c>
      <c r="B130" t="s">
        <v>52</v>
      </c>
      <c r="C130" s="24">
        <v>2000</v>
      </c>
      <c r="D130" s="10">
        <v>1500</v>
      </c>
      <c r="E130" s="10">
        <v>-250</v>
      </c>
      <c r="F130" s="10">
        <f>D130+E130</f>
        <v>1250</v>
      </c>
      <c r="G130" s="10">
        <v>1500</v>
      </c>
      <c r="H130" s="10">
        <v>1500</v>
      </c>
      <c r="I130" s="10"/>
      <c r="J130" s="10">
        <f>H130+I130</f>
        <v>1500</v>
      </c>
      <c r="K130" s="10">
        <v>1500</v>
      </c>
      <c r="L130" s="10">
        <v>1500</v>
      </c>
      <c r="M130" s="10">
        <v>1500</v>
      </c>
      <c r="N130" s="10">
        <v>1500</v>
      </c>
      <c r="O130" s="10"/>
      <c r="P130" s="10">
        <f>N130+O130</f>
        <v>1500</v>
      </c>
      <c r="Q130" s="10">
        <f>P130-L130</f>
        <v>0</v>
      </c>
      <c r="R130" s="11">
        <f>Q130/L130</f>
        <v>0</v>
      </c>
    </row>
    <row r="131" spans="2:18" ht="12.75">
      <c r="B131" s="8" t="s">
        <v>53</v>
      </c>
      <c r="C131" s="25">
        <f aca="true" t="shared" si="51" ref="C131:Q131">SUM(C130)</f>
        <v>2000</v>
      </c>
      <c r="D131" s="12">
        <f t="shared" si="51"/>
        <v>1500</v>
      </c>
      <c r="E131" s="12">
        <f t="shared" si="51"/>
        <v>-250</v>
      </c>
      <c r="F131" s="12">
        <f t="shared" si="51"/>
        <v>1250</v>
      </c>
      <c r="G131" s="12">
        <f t="shared" si="51"/>
        <v>1500</v>
      </c>
      <c r="H131" s="12">
        <f t="shared" si="51"/>
        <v>1500</v>
      </c>
      <c r="I131" s="12">
        <f t="shared" si="51"/>
        <v>0</v>
      </c>
      <c r="J131" s="12">
        <f t="shared" si="51"/>
        <v>1500</v>
      </c>
      <c r="K131" s="13">
        <f t="shared" si="51"/>
        <v>1500</v>
      </c>
      <c r="L131" s="13">
        <f>SUM(L130)</f>
        <v>1500</v>
      </c>
      <c r="M131" s="13">
        <f>SUM(M130)</f>
        <v>1500</v>
      </c>
      <c r="N131" s="13">
        <f>SUM(N130)</f>
        <v>1500</v>
      </c>
      <c r="O131" s="13">
        <f>SUM(O130)</f>
        <v>0</v>
      </c>
      <c r="P131" s="13">
        <f>SUM(P130)</f>
        <v>1500</v>
      </c>
      <c r="Q131" s="13">
        <f t="shared" si="51"/>
        <v>0</v>
      </c>
      <c r="R131" s="14">
        <f>Q131/L131</f>
        <v>0</v>
      </c>
    </row>
    <row r="132" spans="3:18" ht="12.75" hidden="1">
      <c r="C132" s="9"/>
      <c r="D132" s="9"/>
      <c r="E132" s="9"/>
      <c r="F132" s="9"/>
      <c r="G132" s="9"/>
      <c r="H132" s="9"/>
      <c r="I132" s="9"/>
      <c r="J132" s="9"/>
      <c r="K132" s="10"/>
      <c r="L132" s="10"/>
      <c r="M132" s="10"/>
      <c r="N132" s="10"/>
      <c r="O132" s="10"/>
      <c r="P132" s="10"/>
      <c r="Q132" s="10"/>
      <c r="R132" s="11"/>
    </row>
    <row r="133" spans="1:18" ht="12.75" hidden="1">
      <c r="A133" t="s">
        <v>125</v>
      </c>
      <c r="B133" t="s">
        <v>25</v>
      </c>
      <c r="C133" s="9">
        <v>1500</v>
      </c>
      <c r="D133" s="9">
        <v>1000</v>
      </c>
      <c r="E133" s="9">
        <v>-250</v>
      </c>
      <c r="F133" s="10">
        <f>D133+E133</f>
        <v>750</v>
      </c>
      <c r="G133" s="10">
        <v>1000</v>
      </c>
      <c r="H133" s="10">
        <v>1000</v>
      </c>
      <c r="I133" s="9"/>
      <c r="J133" s="10">
        <f>H133+I133</f>
        <v>1000</v>
      </c>
      <c r="K133" s="10">
        <v>1300</v>
      </c>
      <c r="L133" s="10">
        <v>1000</v>
      </c>
      <c r="M133" s="10">
        <v>1300</v>
      </c>
      <c r="N133" s="10">
        <v>1300</v>
      </c>
      <c r="O133" s="10"/>
      <c r="P133" s="10">
        <f>N133+O133</f>
        <v>1300</v>
      </c>
      <c r="Q133" s="10">
        <f>P133-L133</f>
        <v>300</v>
      </c>
      <c r="R133" s="11">
        <f>Q133/L133</f>
        <v>0.3</v>
      </c>
    </row>
    <row r="134" spans="2:18" ht="12.75" hidden="1">
      <c r="B134" t="s">
        <v>55</v>
      </c>
      <c r="C134" s="9">
        <v>250</v>
      </c>
      <c r="D134" s="9">
        <v>250</v>
      </c>
      <c r="E134" s="9"/>
      <c r="F134" s="10">
        <f>D134+E134</f>
        <v>250</v>
      </c>
      <c r="G134" s="10">
        <v>250</v>
      </c>
      <c r="H134" s="10">
        <v>250</v>
      </c>
      <c r="I134" s="9"/>
      <c r="J134" s="10">
        <f>H134+I134</f>
        <v>250</v>
      </c>
      <c r="K134" s="10">
        <v>250</v>
      </c>
      <c r="L134" s="10">
        <v>250</v>
      </c>
      <c r="M134" s="10">
        <v>250</v>
      </c>
      <c r="N134" s="10">
        <v>250</v>
      </c>
      <c r="O134" s="10"/>
      <c r="P134" s="10">
        <f>N134+O134</f>
        <v>250</v>
      </c>
      <c r="Q134" s="10">
        <f>P134-L134</f>
        <v>0</v>
      </c>
      <c r="R134" s="11">
        <f>Q134/L134</f>
        <v>0</v>
      </c>
    </row>
    <row r="135" spans="1:18" ht="12.75" hidden="1">
      <c r="A135" t="s">
        <v>126</v>
      </c>
      <c r="B135" t="s">
        <v>127</v>
      </c>
      <c r="C135" s="10">
        <v>2000</v>
      </c>
      <c r="D135" s="10">
        <v>2000</v>
      </c>
      <c r="E135" s="10">
        <v>-1000</v>
      </c>
      <c r="F135" s="10">
        <f>D135+E135</f>
        <v>1000</v>
      </c>
      <c r="G135" s="10">
        <v>2000</v>
      </c>
      <c r="H135" s="10">
        <v>2000</v>
      </c>
      <c r="I135" s="10"/>
      <c r="J135" s="10">
        <f>H135+I135</f>
        <v>2000</v>
      </c>
      <c r="K135" s="10">
        <v>2000</v>
      </c>
      <c r="L135" s="10">
        <v>1000</v>
      </c>
      <c r="M135" s="10">
        <v>1000</v>
      </c>
      <c r="N135" s="10">
        <v>1000</v>
      </c>
      <c r="O135" s="10"/>
      <c r="P135" s="10">
        <f>N135+O135</f>
        <v>1000</v>
      </c>
      <c r="Q135" s="10">
        <f>P135-L135</f>
        <v>0</v>
      </c>
      <c r="R135" s="11">
        <f>Q135/L135</f>
        <v>0</v>
      </c>
    </row>
    <row r="136" spans="2:18" ht="12.75">
      <c r="B136" s="8" t="s">
        <v>27</v>
      </c>
      <c r="C136" s="12">
        <f aca="true" t="shared" si="52" ref="C136:P136">SUM(C133:C135)</f>
        <v>3750</v>
      </c>
      <c r="D136" s="12">
        <f t="shared" si="52"/>
        <v>3250</v>
      </c>
      <c r="E136" s="12">
        <f t="shared" si="52"/>
        <v>-1250</v>
      </c>
      <c r="F136" s="12">
        <f t="shared" si="52"/>
        <v>2000</v>
      </c>
      <c r="G136" s="12">
        <f t="shared" si="52"/>
        <v>3250</v>
      </c>
      <c r="H136" s="12">
        <f t="shared" si="52"/>
        <v>3250</v>
      </c>
      <c r="I136" s="12">
        <f t="shared" si="52"/>
        <v>0</v>
      </c>
      <c r="J136" s="12">
        <f t="shared" si="52"/>
        <v>3250</v>
      </c>
      <c r="K136" s="13">
        <f t="shared" si="52"/>
        <v>3550</v>
      </c>
      <c r="L136" s="13">
        <f t="shared" si="52"/>
        <v>2250</v>
      </c>
      <c r="M136" s="13">
        <f t="shared" si="52"/>
        <v>2550</v>
      </c>
      <c r="N136" s="13">
        <f t="shared" si="52"/>
        <v>2550</v>
      </c>
      <c r="O136" s="13">
        <f t="shared" si="52"/>
        <v>0</v>
      </c>
      <c r="P136" s="13">
        <f t="shared" si="52"/>
        <v>2550</v>
      </c>
      <c r="Q136" s="13">
        <f>SUM(Q132:Q135)</f>
        <v>300</v>
      </c>
      <c r="R136" s="14">
        <f>Q136/L136</f>
        <v>0.13333333333333333</v>
      </c>
    </row>
    <row r="137" spans="3:18" ht="12.75" hidden="1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24"/>
      <c r="R137" s="15"/>
    </row>
    <row r="138" spans="2:18" s="16" customFormat="1" ht="12.75">
      <c r="B138" s="17" t="s">
        <v>128</v>
      </c>
      <c r="C138" s="18">
        <f aca="true" t="shared" si="53" ref="C138:Q138">SUM(C136+C131+C128+C122)</f>
        <v>178301</v>
      </c>
      <c r="D138" s="18">
        <f t="shared" si="53"/>
        <v>167301</v>
      </c>
      <c r="E138" s="18">
        <f t="shared" si="53"/>
        <v>-1500</v>
      </c>
      <c r="F138" s="18">
        <f t="shared" si="53"/>
        <v>165801</v>
      </c>
      <c r="G138" s="18">
        <f t="shared" si="53"/>
        <v>178701</v>
      </c>
      <c r="H138" s="18">
        <f t="shared" si="53"/>
        <v>173701</v>
      </c>
      <c r="I138" s="18">
        <f t="shared" si="53"/>
        <v>0</v>
      </c>
      <c r="J138" s="18">
        <f t="shared" si="53"/>
        <v>173701</v>
      </c>
      <c r="K138" s="18">
        <f t="shared" si="53"/>
        <v>186262</v>
      </c>
      <c r="L138" s="18">
        <f t="shared" si="53"/>
        <v>176962</v>
      </c>
      <c r="M138" s="18">
        <f>SUM(M136+M131+M128+M122)</f>
        <v>190262</v>
      </c>
      <c r="N138" s="18">
        <f>SUM(N136+N131+N128+N122)</f>
        <v>165037</v>
      </c>
      <c r="O138" s="18">
        <f>SUM(O136+O131+O128+O122)</f>
        <v>0</v>
      </c>
      <c r="P138" s="18">
        <f>SUM(P136+P131+P128+P122)</f>
        <v>165037</v>
      </c>
      <c r="Q138" s="18">
        <f t="shared" si="53"/>
        <v>-11925</v>
      </c>
      <c r="R138" s="19">
        <f>Q138/L138</f>
        <v>-0.06738734869633028</v>
      </c>
    </row>
    <row r="139" spans="3:17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9"/>
    </row>
    <row r="140" spans="3:17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9"/>
    </row>
    <row r="141" spans="3:17" ht="12.7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9"/>
    </row>
    <row r="142" spans="3:17" ht="12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9"/>
    </row>
    <row r="143" spans="3:17" ht="12.7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9"/>
    </row>
    <row r="144" spans="2:16" ht="12.75">
      <c r="B144" s="8" t="s">
        <v>129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8" ht="12.75" hidden="1">
      <c r="B145" s="20" t="s">
        <v>130</v>
      </c>
      <c r="C145" s="9">
        <v>0</v>
      </c>
      <c r="D145" s="9">
        <v>0</v>
      </c>
      <c r="E145" s="9"/>
      <c r="F145" s="10">
        <f aca="true" t="shared" si="54" ref="F145:F151">D145+E145</f>
        <v>0</v>
      </c>
      <c r="G145" s="9">
        <v>0</v>
      </c>
      <c r="H145" s="9">
        <v>0</v>
      </c>
      <c r="I145" s="9"/>
      <c r="J145" s="10">
        <f aca="true" t="shared" si="55" ref="J145:J151">H145+I145</f>
        <v>0</v>
      </c>
      <c r="K145" s="9">
        <v>0</v>
      </c>
      <c r="L145" s="9">
        <v>0</v>
      </c>
      <c r="M145" s="9">
        <v>0</v>
      </c>
      <c r="N145" s="9"/>
      <c r="O145" s="9"/>
      <c r="P145" s="9"/>
      <c r="Q145" s="10">
        <f aca="true" t="shared" si="56" ref="Q145:Q151">P145-L145</f>
        <v>0</v>
      </c>
      <c r="R145" s="11" t="e">
        <f aca="true" t="shared" si="57" ref="R145:R151">Q145/L145</f>
        <v>#DIV/0!</v>
      </c>
    </row>
    <row r="146" spans="1:18" ht="12.75" hidden="1">
      <c r="A146" t="s">
        <v>131</v>
      </c>
      <c r="B146" t="s">
        <v>132</v>
      </c>
      <c r="C146" s="9">
        <v>66046</v>
      </c>
      <c r="D146" s="9">
        <v>66046</v>
      </c>
      <c r="E146" s="9"/>
      <c r="F146" s="10">
        <f t="shared" si="54"/>
        <v>66046</v>
      </c>
      <c r="G146" s="10">
        <v>66046</v>
      </c>
      <c r="H146" s="10">
        <v>66046</v>
      </c>
      <c r="I146" s="9"/>
      <c r="J146" s="10">
        <f t="shared" si="55"/>
        <v>66046</v>
      </c>
      <c r="K146" s="10">
        <v>70067</v>
      </c>
      <c r="L146" s="10">
        <v>70067</v>
      </c>
      <c r="M146" s="10">
        <v>70067</v>
      </c>
      <c r="N146" s="10">
        <v>70067</v>
      </c>
      <c r="O146" s="10"/>
      <c r="P146" s="10">
        <f aca="true" t="shared" si="58" ref="P146:P151">N146+O146</f>
        <v>70067</v>
      </c>
      <c r="Q146" s="10">
        <f t="shared" si="56"/>
        <v>0</v>
      </c>
      <c r="R146" s="11">
        <f t="shared" si="57"/>
        <v>0</v>
      </c>
    </row>
    <row r="147" spans="1:18" ht="12.75" hidden="1">
      <c r="A147" t="s">
        <v>133</v>
      </c>
      <c r="B147" t="s">
        <v>134</v>
      </c>
      <c r="C147" s="9">
        <v>45427</v>
      </c>
      <c r="D147" s="9">
        <v>45427</v>
      </c>
      <c r="E147" s="9"/>
      <c r="F147" s="10">
        <f t="shared" si="54"/>
        <v>45427</v>
      </c>
      <c r="G147" s="10">
        <v>45427</v>
      </c>
      <c r="H147" s="10">
        <v>45427</v>
      </c>
      <c r="I147" s="9"/>
      <c r="J147" s="10">
        <f t="shared" si="55"/>
        <v>45427</v>
      </c>
      <c r="K147" s="10">
        <v>48193</v>
      </c>
      <c r="L147" s="10">
        <v>48193</v>
      </c>
      <c r="M147" s="10">
        <v>48193</v>
      </c>
      <c r="N147" s="10">
        <v>48193</v>
      </c>
      <c r="O147" s="10"/>
      <c r="P147" s="10">
        <f t="shared" si="58"/>
        <v>48193</v>
      </c>
      <c r="Q147" s="10">
        <f t="shared" si="56"/>
        <v>0</v>
      </c>
      <c r="R147" s="11">
        <f t="shared" si="57"/>
        <v>0</v>
      </c>
    </row>
    <row r="148" spans="1:18" ht="12.75" hidden="1">
      <c r="A148" t="s">
        <v>135</v>
      </c>
      <c r="B148" t="s">
        <v>136</v>
      </c>
      <c r="C148" s="9"/>
      <c r="D148" s="9"/>
      <c r="E148" s="9"/>
      <c r="F148" s="10">
        <f t="shared" si="54"/>
        <v>0</v>
      </c>
      <c r="G148" s="10"/>
      <c r="H148" s="10"/>
      <c r="I148" s="9"/>
      <c r="J148" s="10">
        <f t="shared" si="55"/>
        <v>0</v>
      </c>
      <c r="K148" s="10"/>
      <c r="L148" s="10"/>
      <c r="M148" s="10"/>
      <c r="N148" s="10"/>
      <c r="O148" s="10"/>
      <c r="P148" s="10">
        <f t="shared" si="58"/>
        <v>0</v>
      </c>
      <c r="Q148" s="10">
        <f t="shared" si="56"/>
        <v>0</v>
      </c>
      <c r="R148" s="11" t="e">
        <f t="shared" si="57"/>
        <v>#DIV/0!</v>
      </c>
    </row>
    <row r="149" spans="2:18" ht="12.75" hidden="1">
      <c r="B149" t="s">
        <v>137</v>
      </c>
      <c r="C149" s="10">
        <v>9000</v>
      </c>
      <c r="D149" s="10">
        <v>9000</v>
      </c>
      <c r="E149" s="10"/>
      <c r="F149" s="10">
        <f t="shared" si="54"/>
        <v>9000</v>
      </c>
      <c r="G149" s="10">
        <v>9000</v>
      </c>
      <c r="H149" s="10">
        <v>9000</v>
      </c>
      <c r="I149" s="10"/>
      <c r="J149" s="10">
        <f t="shared" si="55"/>
        <v>9000</v>
      </c>
      <c r="K149" s="10">
        <v>9000</v>
      </c>
      <c r="L149" s="10">
        <v>9000</v>
      </c>
      <c r="M149" s="10">
        <v>9000</v>
      </c>
      <c r="N149" s="10">
        <v>9000</v>
      </c>
      <c r="O149" s="10"/>
      <c r="P149" s="10">
        <f t="shared" si="58"/>
        <v>9000</v>
      </c>
      <c r="Q149" s="10">
        <f t="shared" si="56"/>
        <v>0</v>
      </c>
      <c r="R149" s="11">
        <f t="shared" si="57"/>
        <v>0</v>
      </c>
    </row>
    <row r="150" spans="1:18" ht="12.75" hidden="1">
      <c r="A150" t="s">
        <v>138</v>
      </c>
      <c r="B150" t="s">
        <v>139</v>
      </c>
      <c r="C150" s="10">
        <v>4000</v>
      </c>
      <c r="D150" s="10">
        <v>4000</v>
      </c>
      <c r="E150" s="10"/>
      <c r="F150" s="10">
        <f t="shared" si="54"/>
        <v>4000</v>
      </c>
      <c r="G150" s="10">
        <v>4000</v>
      </c>
      <c r="H150" s="10">
        <v>4000</v>
      </c>
      <c r="I150" s="10"/>
      <c r="J150" s="10">
        <f t="shared" si="55"/>
        <v>4000</v>
      </c>
      <c r="K150" s="10">
        <v>4000</v>
      </c>
      <c r="L150" s="10">
        <v>4000</v>
      </c>
      <c r="M150" s="10">
        <v>4000</v>
      </c>
      <c r="N150" s="10">
        <v>4000</v>
      </c>
      <c r="O150" s="10"/>
      <c r="P150" s="10">
        <f t="shared" si="58"/>
        <v>4000</v>
      </c>
      <c r="Q150" s="10">
        <f t="shared" si="56"/>
        <v>0</v>
      </c>
      <c r="R150" s="11">
        <f t="shared" si="57"/>
        <v>0</v>
      </c>
    </row>
    <row r="151" spans="2:18" ht="12.75" hidden="1">
      <c r="B151" t="s">
        <v>140</v>
      </c>
      <c r="C151" s="10">
        <v>1100</v>
      </c>
      <c r="D151" s="10">
        <v>1100</v>
      </c>
      <c r="E151" s="10"/>
      <c r="F151" s="10">
        <f t="shared" si="54"/>
        <v>1100</v>
      </c>
      <c r="G151" s="10">
        <v>2400</v>
      </c>
      <c r="H151" s="10">
        <v>2400</v>
      </c>
      <c r="I151" s="10"/>
      <c r="J151" s="10">
        <f t="shared" si="55"/>
        <v>2400</v>
      </c>
      <c r="K151" s="10">
        <v>2600</v>
      </c>
      <c r="L151" s="10">
        <v>2600</v>
      </c>
      <c r="M151" s="10">
        <v>2600</v>
      </c>
      <c r="N151" s="10">
        <v>2600</v>
      </c>
      <c r="O151" s="10"/>
      <c r="P151" s="10">
        <f t="shared" si="58"/>
        <v>2600</v>
      </c>
      <c r="Q151" s="10">
        <f t="shared" si="56"/>
        <v>0</v>
      </c>
      <c r="R151" s="11">
        <f t="shared" si="57"/>
        <v>0</v>
      </c>
    </row>
    <row r="152" spans="2:18" ht="12.75">
      <c r="B152" s="8" t="s">
        <v>20</v>
      </c>
      <c r="C152" s="12">
        <f aca="true" t="shared" si="59" ref="C152:Q152">SUM(C145:C151)</f>
        <v>125573</v>
      </c>
      <c r="D152" s="12">
        <f t="shared" si="59"/>
        <v>125573</v>
      </c>
      <c r="E152" s="12">
        <f t="shared" si="59"/>
        <v>0</v>
      </c>
      <c r="F152" s="12">
        <f t="shared" si="59"/>
        <v>125573</v>
      </c>
      <c r="G152" s="12">
        <f t="shared" si="59"/>
        <v>126873</v>
      </c>
      <c r="H152" s="12">
        <f t="shared" si="59"/>
        <v>126873</v>
      </c>
      <c r="I152" s="12">
        <f t="shared" si="59"/>
        <v>0</v>
      </c>
      <c r="J152" s="12">
        <f t="shared" si="59"/>
        <v>126873</v>
      </c>
      <c r="K152" s="13">
        <f t="shared" si="59"/>
        <v>133860</v>
      </c>
      <c r="L152" s="13">
        <f t="shared" si="59"/>
        <v>133860</v>
      </c>
      <c r="M152" s="13">
        <f t="shared" si="59"/>
        <v>133860</v>
      </c>
      <c r="N152" s="13">
        <f t="shared" si="59"/>
        <v>133860</v>
      </c>
      <c r="O152" s="13">
        <f t="shared" si="59"/>
        <v>0</v>
      </c>
      <c r="P152" s="13">
        <f t="shared" si="59"/>
        <v>133860</v>
      </c>
      <c r="Q152" s="13">
        <f t="shared" si="59"/>
        <v>0</v>
      </c>
      <c r="R152" s="14">
        <f>Q152/L152</f>
        <v>0</v>
      </c>
    </row>
    <row r="153" spans="3:18" ht="12.75" hidden="1">
      <c r="C153" s="9"/>
      <c r="D153" s="9"/>
      <c r="E153" s="9"/>
      <c r="F153" s="9"/>
      <c r="G153" s="9"/>
      <c r="H153" s="9"/>
      <c r="I153" s="9"/>
      <c r="J153" s="9"/>
      <c r="K153" s="10"/>
      <c r="L153" s="10"/>
      <c r="M153" s="10"/>
      <c r="N153" s="10"/>
      <c r="O153" s="10"/>
      <c r="P153" s="10"/>
      <c r="Q153" s="10"/>
      <c r="R153" s="11"/>
    </row>
    <row r="154" spans="2:18" ht="12.75" hidden="1">
      <c r="B154" t="s">
        <v>78</v>
      </c>
      <c r="C154" s="9">
        <v>4150</v>
      </c>
      <c r="D154" s="9">
        <v>4150</v>
      </c>
      <c r="E154" s="9">
        <v>-1000</v>
      </c>
      <c r="F154" s="10">
        <f>D154+E154</f>
        <v>3150</v>
      </c>
      <c r="G154" s="10">
        <v>4150</v>
      </c>
      <c r="H154" s="10">
        <v>4150</v>
      </c>
      <c r="I154" s="9"/>
      <c r="J154" s="10">
        <f>H154+I154</f>
        <v>4150</v>
      </c>
      <c r="K154" s="10">
        <v>4150</v>
      </c>
      <c r="L154" s="10">
        <v>4150</v>
      </c>
      <c r="M154" s="10">
        <v>4150</v>
      </c>
      <c r="N154" s="10">
        <v>4150</v>
      </c>
      <c r="O154" s="10"/>
      <c r="P154" s="10">
        <f>N154+O154</f>
        <v>4150</v>
      </c>
      <c r="Q154" s="10">
        <f>P154-L154</f>
        <v>0</v>
      </c>
      <c r="R154" s="11">
        <f>Q154/L154</f>
        <v>0</v>
      </c>
    </row>
    <row r="155" spans="2:18" ht="12.75" hidden="1">
      <c r="B155" t="s">
        <v>141</v>
      </c>
      <c r="C155" s="9"/>
      <c r="D155" s="9"/>
      <c r="E155" s="9"/>
      <c r="F155" s="10">
        <f>D155+E155</f>
        <v>0</v>
      </c>
      <c r="G155" s="10"/>
      <c r="H155" s="10"/>
      <c r="I155" s="9"/>
      <c r="J155" s="10">
        <f>H155+I155</f>
        <v>0</v>
      </c>
      <c r="K155" s="10"/>
      <c r="L155" s="10"/>
      <c r="M155" s="10"/>
      <c r="N155" s="10"/>
      <c r="O155" s="10"/>
      <c r="P155" s="10">
        <f>N155+O155</f>
        <v>0</v>
      </c>
      <c r="Q155" s="10">
        <f>P155-L155</f>
        <v>0</v>
      </c>
      <c r="R155" s="11" t="e">
        <f>Q155/L155</f>
        <v>#DIV/0!</v>
      </c>
    </row>
    <row r="156" spans="1:18" ht="12.75" hidden="1">
      <c r="A156" t="s">
        <v>142</v>
      </c>
      <c r="B156" t="s">
        <v>50</v>
      </c>
      <c r="C156" s="9"/>
      <c r="D156" s="9"/>
      <c r="E156" s="9"/>
      <c r="F156" s="10">
        <f>D156+E156</f>
        <v>0</v>
      </c>
      <c r="G156" s="10"/>
      <c r="H156" s="10"/>
      <c r="I156" s="9"/>
      <c r="J156" s="10">
        <f>H156+I156</f>
        <v>0</v>
      </c>
      <c r="K156" s="10"/>
      <c r="L156" s="10"/>
      <c r="M156" s="10"/>
      <c r="N156" s="10"/>
      <c r="O156" s="10"/>
      <c r="P156" s="10">
        <f>N156+O156</f>
        <v>0</v>
      </c>
      <c r="Q156" s="10">
        <f>P156-L156</f>
        <v>0</v>
      </c>
      <c r="R156" s="11" t="e">
        <f>Q156/L156</f>
        <v>#DIV/0!</v>
      </c>
    </row>
    <row r="157" spans="2:18" ht="12.75" hidden="1">
      <c r="B157" t="s">
        <v>143</v>
      </c>
      <c r="C157" s="9">
        <v>2600</v>
      </c>
      <c r="D157" s="9">
        <v>2582</v>
      </c>
      <c r="E157" s="9"/>
      <c r="F157" s="10">
        <f>D157+E157</f>
        <v>2582</v>
      </c>
      <c r="G157" s="10">
        <v>2582</v>
      </c>
      <c r="H157" s="10">
        <v>2582</v>
      </c>
      <c r="I157" s="9"/>
      <c r="J157" s="10">
        <f>H157+I157</f>
        <v>2582</v>
      </c>
      <c r="K157" s="10">
        <v>2582</v>
      </c>
      <c r="L157" s="10">
        <v>2582</v>
      </c>
      <c r="M157" s="10">
        <v>2739</v>
      </c>
      <c r="N157" s="10">
        <v>2739</v>
      </c>
      <c r="O157" s="10"/>
      <c r="P157" s="10">
        <f>N157+O157</f>
        <v>2739</v>
      </c>
      <c r="Q157" s="10">
        <f>P157-L157</f>
        <v>157</v>
      </c>
      <c r="R157" s="11">
        <f>Q157/L157</f>
        <v>0.06080557707203718</v>
      </c>
    </row>
    <row r="158" spans="2:18" ht="12.75">
      <c r="B158" s="8" t="s">
        <v>23</v>
      </c>
      <c r="C158" s="12">
        <f aca="true" t="shared" si="60" ref="C158:Q158">SUM(C154:C157)</f>
        <v>6750</v>
      </c>
      <c r="D158" s="12">
        <f t="shared" si="60"/>
        <v>6732</v>
      </c>
      <c r="E158" s="12">
        <f t="shared" si="60"/>
        <v>-1000</v>
      </c>
      <c r="F158" s="12">
        <f t="shared" si="60"/>
        <v>5732</v>
      </c>
      <c r="G158" s="12">
        <f t="shared" si="60"/>
        <v>6732</v>
      </c>
      <c r="H158" s="12">
        <f t="shared" si="60"/>
        <v>6732</v>
      </c>
      <c r="I158" s="12">
        <f t="shared" si="60"/>
        <v>0</v>
      </c>
      <c r="J158" s="12">
        <f t="shared" si="60"/>
        <v>6732</v>
      </c>
      <c r="K158" s="13">
        <f t="shared" si="60"/>
        <v>6732</v>
      </c>
      <c r="L158" s="13">
        <f t="shared" si="60"/>
        <v>6732</v>
      </c>
      <c r="M158" s="13">
        <f t="shared" si="60"/>
        <v>6889</v>
      </c>
      <c r="N158" s="13">
        <f t="shared" si="60"/>
        <v>6889</v>
      </c>
      <c r="O158" s="13">
        <f t="shared" si="60"/>
        <v>0</v>
      </c>
      <c r="P158" s="13">
        <f t="shared" si="60"/>
        <v>6889</v>
      </c>
      <c r="Q158" s="13">
        <f t="shared" si="60"/>
        <v>157</v>
      </c>
      <c r="R158" s="14">
        <f>Q158/L158</f>
        <v>0.023321449792038026</v>
      </c>
    </row>
    <row r="159" spans="2:18" ht="12.75" hidden="1">
      <c r="B159" s="8"/>
      <c r="C159" s="25"/>
      <c r="D159" s="25"/>
      <c r="E159" s="25"/>
      <c r="F159" s="25"/>
      <c r="G159" s="25"/>
      <c r="H159" s="25"/>
      <c r="I159" s="25"/>
      <c r="J159" s="25"/>
      <c r="K159" s="13"/>
      <c r="L159" s="13"/>
      <c r="M159" s="13"/>
      <c r="N159" s="13"/>
      <c r="O159" s="13"/>
      <c r="P159" s="13"/>
      <c r="Q159" s="13"/>
      <c r="R159" s="14"/>
    </row>
    <row r="160" spans="2:18" ht="12.75" hidden="1">
      <c r="B160" t="s">
        <v>52</v>
      </c>
      <c r="C160" s="24">
        <v>1000</v>
      </c>
      <c r="D160" s="24">
        <v>800</v>
      </c>
      <c r="E160" s="10"/>
      <c r="F160" s="10">
        <f>D160+E160</f>
        <v>800</v>
      </c>
      <c r="G160" s="10">
        <v>1500</v>
      </c>
      <c r="H160" s="10">
        <v>800</v>
      </c>
      <c r="I160" s="10"/>
      <c r="J160" s="10">
        <f>H160+I160</f>
        <v>800</v>
      </c>
      <c r="K160" s="10">
        <v>800</v>
      </c>
      <c r="L160" s="10">
        <v>800</v>
      </c>
      <c r="M160" s="10">
        <v>800</v>
      </c>
      <c r="N160" s="10">
        <v>800</v>
      </c>
      <c r="O160" s="10"/>
      <c r="P160" s="10">
        <f>N160+O160</f>
        <v>800</v>
      </c>
      <c r="Q160" s="10">
        <f>P160-L160</f>
        <v>0</v>
      </c>
      <c r="R160" s="11">
        <f>Q160/L160</f>
        <v>0</v>
      </c>
    </row>
    <row r="161" spans="2:18" ht="12.75">
      <c r="B161" s="8" t="s">
        <v>53</v>
      </c>
      <c r="C161" s="25">
        <f aca="true" t="shared" si="61" ref="C161:Q161">SUM(C160)</f>
        <v>1000</v>
      </c>
      <c r="D161" s="25">
        <f t="shared" si="61"/>
        <v>800</v>
      </c>
      <c r="E161" s="12">
        <f t="shared" si="61"/>
        <v>0</v>
      </c>
      <c r="F161" s="12">
        <f t="shared" si="61"/>
        <v>800</v>
      </c>
      <c r="G161" s="12">
        <f t="shared" si="61"/>
        <v>1500</v>
      </c>
      <c r="H161" s="12">
        <f t="shared" si="61"/>
        <v>800</v>
      </c>
      <c r="I161" s="12">
        <f t="shared" si="61"/>
        <v>0</v>
      </c>
      <c r="J161" s="12">
        <f t="shared" si="61"/>
        <v>800</v>
      </c>
      <c r="K161" s="13">
        <f t="shared" si="61"/>
        <v>800</v>
      </c>
      <c r="L161" s="13">
        <f t="shared" si="61"/>
        <v>800</v>
      </c>
      <c r="M161" s="13">
        <f t="shared" si="61"/>
        <v>800</v>
      </c>
      <c r="N161" s="13">
        <f t="shared" si="61"/>
        <v>800</v>
      </c>
      <c r="O161" s="13">
        <f t="shared" si="61"/>
        <v>0</v>
      </c>
      <c r="P161" s="13">
        <f t="shared" si="61"/>
        <v>800</v>
      </c>
      <c r="Q161" s="13">
        <f t="shared" si="61"/>
        <v>0</v>
      </c>
      <c r="R161" s="14">
        <f>Q161/L161</f>
        <v>0</v>
      </c>
    </row>
    <row r="162" spans="3:18" ht="12.75" hidden="1">
      <c r="C162" s="9"/>
      <c r="D162" s="9"/>
      <c r="E162" s="9"/>
      <c r="F162" s="9"/>
      <c r="G162" s="9"/>
      <c r="H162" s="9"/>
      <c r="I162" s="9"/>
      <c r="J162" s="9"/>
      <c r="K162" s="10"/>
      <c r="L162" s="10"/>
      <c r="M162" s="10"/>
      <c r="N162" s="10"/>
      <c r="O162" s="10"/>
      <c r="P162" s="10"/>
      <c r="Q162" s="10"/>
      <c r="R162" s="11"/>
    </row>
    <row r="163" spans="1:18" ht="12.75" hidden="1">
      <c r="A163" t="s">
        <v>144</v>
      </c>
      <c r="B163" t="s">
        <v>25</v>
      </c>
      <c r="C163" s="10">
        <v>1000</v>
      </c>
      <c r="D163" s="10">
        <v>1000</v>
      </c>
      <c r="E163" s="10"/>
      <c r="F163" s="10">
        <f>D163+E163</f>
        <v>1000</v>
      </c>
      <c r="G163" s="10">
        <v>1500</v>
      </c>
      <c r="H163" s="10">
        <v>1000</v>
      </c>
      <c r="I163" s="10"/>
      <c r="J163" s="10">
        <f>H163+I163</f>
        <v>1000</v>
      </c>
      <c r="K163" s="10">
        <v>1000</v>
      </c>
      <c r="L163" s="10">
        <v>1000</v>
      </c>
      <c r="M163" s="10">
        <v>1000</v>
      </c>
      <c r="N163" s="10">
        <v>1000</v>
      </c>
      <c r="O163" s="10"/>
      <c r="P163" s="10">
        <f>N163+O163</f>
        <v>1000</v>
      </c>
      <c r="Q163" s="10">
        <f>P163-L163</f>
        <v>0</v>
      </c>
      <c r="R163" s="11">
        <f>Q163/L163</f>
        <v>0</v>
      </c>
    </row>
    <row r="164" spans="2:18" ht="12.75" hidden="1">
      <c r="B164" t="s">
        <v>55</v>
      </c>
      <c r="C164" s="10">
        <v>500</v>
      </c>
      <c r="D164" s="10">
        <v>500</v>
      </c>
      <c r="E164" s="10"/>
      <c r="F164" s="10">
        <f>D164+E164</f>
        <v>500</v>
      </c>
      <c r="G164" s="10">
        <v>500</v>
      </c>
      <c r="H164" s="10">
        <v>500</v>
      </c>
      <c r="I164" s="10"/>
      <c r="J164" s="10">
        <f>H164+I164</f>
        <v>500</v>
      </c>
      <c r="K164" s="10">
        <v>500</v>
      </c>
      <c r="L164" s="10">
        <v>500</v>
      </c>
      <c r="M164" s="10">
        <v>500</v>
      </c>
      <c r="N164" s="10">
        <v>500</v>
      </c>
      <c r="O164" s="10"/>
      <c r="P164" s="10">
        <f>N164+O164</f>
        <v>500</v>
      </c>
      <c r="Q164" s="10">
        <f>P164-L164</f>
        <v>0</v>
      </c>
      <c r="R164" s="11">
        <f>Q164/L164</f>
        <v>0</v>
      </c>
    </row>
    <row r="165" spans="2:18" ht="12.75">
      <c r="B165" s="8" t="s">
        <v>27</v>
      </c>
      <c r="C165" s="12">
        <f aca="true" t="shared" si="62" ref="C165:Q165">SUM(C163:C164)</f>
        <v>1500</v>
      </c>
      <c r="D165" s="12">
        <f t="shared" si="62"/>
        <v>1500</v>
      </c>
      <c r="E165" s="12">
        <f t="shared" si="62"/>
        <v>0</v>
      </c>
      <c r="F165" s="12">
        <f t="shared" si="62"/>
        <v>1500</v>
      </c>
      <c r="G165" s="12">
        <f t="shared" si="62"/>
        <v>2000</v>
      </c>
      <c r="H165" s="12">
        <f t="shared" si="62"/>
        <v>1500</v>
      </c>
      <c r="I165" s="12">
        <f t="shared" si="62"/>
        <v>0</v>
      </c>
      <c r="J165" s="12">
        <f t="shared" si="62"/>
        <v>1500</v>
      </c>
      <c r="K165" s="13">
        <f t="shared" si="62"/>
        <v>1500</v>
      </c>
      <c r="L165" s="13">
        <f t="shared" si="62"/>
        <v>1500</v>
      </c>
      <c r="M165" s="13">
        <f t="shared" si="62"/>
        <v>1500</v>
      </c>
      <c r="N165" s="13">
        <f t="shared" si="62"/>
        <v>1500</v>
      </c>
      <c r="O165" s="13">
        <f t="shared" si="62"/>
        <v>0</v>
      </c>
      <c r="P165" s="13">
        <f t="shared" si="62"/>
        <v>1500</v>
      </c>
      <c r="Q165" s="13">
        <f t="shared" si="62"/>
        <v>0</v>
      </c>
      <c r="R165" s="14">
        <f>Q165/L165</f>
        <v>0</v>
      </c>
    </row>
    <row r="166" spans="3:18" ht="12.75" hidden="1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5"/>
    </row>
    <row r="167" spans="2:18" s="16" customFormat="1" ht="12.75">
      <c r="B167" s="17" t="s">
        <v>145</v>
      </c>
      <c r="C167" s="18">
        <f aca="true" t="shared" si="63" ref="C167:Q167">SUM(C165+C161+C158+C152)</f>
        <v>134823</v>
      </c>
      <c r="D167" s="18">
        <f t="shared" si="63"/>
        <v>134605</v>
      </c>
      <c r="E167" s="18">
        <f t="shared" si="63"/>
        <v>-1000</v>
      </c>
      <c r="F167" s="18">
        <f t="shared" si="63"/>
        <v>133605</v>
      </c>
      <c r="G167" s="18">
        <f t="shared" si="63"/>
        <v>137105</v>
      </c>
      <c r="H167" s="18">
        <f t="shared" si="63"/>
        <v>135905</v>
      </c>
      <c r="I167" s="18">
        <f t="shared" si="63"/>
        <v>0</v>
      </c>
      <c r="J167" s="18">
        <f t="shared" si="63"/>
        <v>135905</v>
      </c>
      <c r="K167" s="18">
        <f t="shared" si="63"/>
        <v>142892</v>
      </c>
      <c r="L167" s="18">
        <f t="shared" si="63"/>
        <v>142892</v>
      </c>
      <c r="M167" s="18">
        <f>SUM(M165+M161+M158+M152)</f>
        <v>143049</v>
      </c>
      <c r="N167" s="18">
        <f>SUM(N165+N161+N158+N152)</f>
        <v>143049</v>
      </c>
      <c r="O167" s="18">
        <f>SUM(O165+O161+O158+O152)</f>
        <v>0</v>
      </c>
      <c r="P167" s="18">
        <f>SUM(P165+P161+P158+P152)</f>
        <v>143049</v>
      </c>
      <c r="Q167" s="18">
        <f t="shared" si="63"/>
        <v>157</v>
      </c>
      <c r="R167" s="19">
        <f>Q167/L167</f>
        <v>0.001098731909414103</v>
      </c>
    </row>
    <row r="168" spans="2:18" s="16" customFormat="1" ht="12.75"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3"/>
    </row>
    <row r="169" spans="2:18" ht="12.75">
      <c r="B169" s="8" t="s">
        <v>146</v>
      </c>
      <c r="C169" s="9"/>
      <c r="D169" s="9"/>
      <c r="E169" s="9"/>
      <c r="F169" s="9"/>
      <c r="G169" s="9"/>
      <c r="H169" s="9"/>
      <c r="I169" s="9"/>
      <c r="J169" s="9"/>
      <c r="K169" s="10"/>
      <c r="L169" s="10"/>
      <c r="M169" s="10"/>
      <c r="N169" s="10"/>
      <c r="O169" s="10"/>
      <c r="P169" s="10"/>
      <c r="Q169" s="28"/>
      <c r="R169" s="28"/>
    </row>
    <row r="170" spans="1:18" ht="12.75" hidden="1">
      <c r="A170" t="s">
        <v>147</v>
      </c>
      <c r="B170" t="s">
        <v>148</v>
      </c>
      <c r="C170" s="9">
        <v>64330</v>
      </c>
      <c r="D170" s="9">
        <v>64330</v>
      </c>
      <c r="E170" s="9"/>
      <c r="F170" s="10">
        <f aca="true" t="shared" si="64" ref="F170:F175">D170+E170</f>
        <v>64330</v>
      </c>
      <c r="G170" s="10">
        <v>64330</v>
      </c>
      <c r="H170" s="10">
        <v>64330</v>
      </c>
      <c r="I170" s="9"/>
      <c r="J170" s="10">
        <f aca="true" t="shared" si="65" ref="J170:J175">H170+I170</f>
        <v>64330</v>
      </c>
      <c r="K170" s="10">
        <v>68246</v>
      </c>
      <c r="L170" s="10">
        <v>68246</v>
      </c>
      <c r="M170" s="10">
        <v>68246</v>
      </c>
      <c r="N170" s="10">
        <f>(68246*0.33)+(50000*0.66)</f>
        <v>55521.18</v>
      </c>
      <c r="O170" s="10"/>
      <c r="P170" s="10">
        <f aca="true" t="shared" si="66" ref="P170:P175">N170+O170</f>
        <v>55521.18</v>
      </c>
      <c r="Q170" s="10">
        <f aca="true" t="shared" si="67" ref="Q170:Q175">P170-L170</f>
        <v>-12724.82</v>
      </c>
      <c r="R170" s="11">
        <f aca="true" t="shared" si="68" ref="R170:R175">Q170/L170</f>
        <v>-0.1864551768601823</v>
      </c>
    </row>
    <row r="171" spans="1:18" ht="12.75" hidden="1">
      <c r="A171" t="s">
        <v>149</v>
      </c>
      <c r="B171" t="s">
        <v>150</v>
      </c>
      <c r="C171" s="9">
        <v>39312</v>
      </c>
      <c r="D171" s="9">
        <f>27001*1.04</f>
        <v>28081.04</v>
      </c>
      <c r="E171" s="9"/>
      <c r="F171" s="10">
        <f t="shared" si="64"/>
        <v>28081.04</v>
      </c>
      <c r="G171" s="10">
        <v>36400</v>
      </c>
      <c r="H171" s="10">
        <v>28081</v>
      </c>
      <c r="I171" s="9"/>
      <c r="J171" s="10">
        <f t="shared" si="65"/>
        <v>28081</v>
      </c>
      <c r="K171" s="10">
        <v>38620</v>
      </c>
      <c r="L171" s="10">
        <v>33100</v>
      </c>
      <c r="M171" s="10">
        <v>38616</v>
      </c>
      <c r="N171" s="10">
        <v>35300</v>
      </c>
      <c r="O171" s="10"/>
      <c r="P171" s="10">
        <f t="shared" si="66"/>
        <v>35300</v>
      </c>
      <c r="Q171" s="10">
        <f t="shared" si="67"/>
        <v>2200</v>
      </c>
      <c r="R171" s="11">
        <f t="shared" si="68"/>
        <v>0.06646525679758308</v>
      </c>
    </row>
    <row r="172" spans="2:18" ht="12.75" hidden="1">
      <c r="B172" t="s">
        <v>151</v>
      </c>
      <c r="C172" s="10">
        <v>6000</v>
      </c>
      <c r="D172" s="10">
        <v>6000</v>
      </c>
      <c r="E172" s="10">
        <v>-1100</v>
      </c>
      <c r="F172" s="10">
        <f t="shared" si="64"/>
        <v>4900</v>
      </c>
      <c r="G172" s="10">
        <v>7000</v>
      </c>
      <c r="H172" s="10">
        <v>7000</v>
      </c>
      <c r="I172" s="10"/>
      <c r="J172" s="10">
        <f t="shared" si="65"/>
        <v>7000</v>
      </c>
      <c r="K172" s="10">
        <v>7000</v>
      </c>
      <c r="L172" s="10">
        <v>6500</v>
      </c>
      <c r="M172" s="10">
        <v>5000</v>
      </c>
      <c r="N172" s="10">
        <v>5000</v>
      </c>
      <c r="O172" s="10"/>
      <c r="P172" s="10">
        <f t="shared" si="66"/>
        <v>5000</v>
      </c>
      <c r="Q172" s="10">
        <f t="shared" si="67"/>
        <v>-1500</v>
      </c>
      <c r="R172" s="11">
        <f t="shared" si="68"/>
        <v>-0.23076923076923078</v>
      </c>
    </row>
    <row r="173" spans="2:18" ht="12.75" hidden="1">
      <c r="B173" t="s">
        <v>76</v>
      </c>
      <c r="C173" s="10">
        <v>1500</v>
      </c>
      <c r="D173" s="10">
        <v>1500</v>
      </c>
      <c r="E173" s="10"/>
      <c r="F173" s="10">
        <f t="shared" si="64"/>
        <v>1500</v>
      </c>
      <c r="G173" s="10">
        <v>3000</v>
      </c>
      <c r="H173" s="10">
        <v>3000</v>
      </c>
      <c r="I173" s="10"/>
      <c r="J173" s="10">
        <f t="shared" si="65"/>
        <v>3000</v>
      </c>
      <c r="K173" s="10">
        <v>3000</v>
      </c>
      <c r="L173" s="10">
        <v>3000</v>
      </c>
      <c r="M173" s="10">
        <v>3000</v>
      </c>
      <c r="N173" s="10">
        <v>3000</v>
      </c>
      <c r="O173" s="10"/>
      <c r="P173" s="10">
        <f t="shared" si="66"/>
        <v>3000</v>
      </c>
      <c r="Q173" s="10">
        <f t="shared" si="67"/>
        <v>0</v>
      </c>
      <c r="R173" s="11">
        <f t="shared" si="68"/>
        <v>0</v>
      </c>
    </row>
    <row r="174" spans="2:18" ht="12.75" hidden="1">
      <c r="B174" t="s">
        <v>39</v>
      </c>
      <c r="C174" s="10">
        <v>2800</v>
      </c>
      <c r="D174" s="10">
        <v>2800</v>
      </c>
      <c r="E174" s="10"/>
      <c r="F174" s="10">
        <f t="shared" si="64"/>
        <v>2800</v>
      </c>
      <c r="G174" s="10">
        <v>1700</v>
      </c>
      <c r="H174" s="10">
        <v>1700</v>
      </c>
      <c r="I174" s="10"/>
      <c r="J174" s="10">
        <f t="shared" si="65"/>
        <v>1700</v>
      </c>
      <c r="K174" s="10">
        <v>1800</v>
      </c>
      <c r="L174" s="10">
        <v>1800</v>
      </c>
      <c r="M174" s="10">
        <v>1800</v>
      </c>
      <c r="N174" s="10">
        <v>1800</v>
      </c>
      <c r="O174" s="10"/>
      <c r="P174" s="10">
        <f t="shared" si="66"/>
        <v>1800</v>
      </c>
      <c r="Q174" s="10">
        <f t="shared" si="67"/>
        <v>0</v>
      </c>
      <c r="R174" s="11">
        <f t="shared" si="68"/>
        <v>0</v>
      </c>
    </row>
    <row r="175" spans="2:18" ht="12.75" hidden="1">
      <c r="B175" t="s">
        <v>152</v>
      </c>
      <c r="C175" s="10">
        <v>1000</v>
      </c>
      <c r="D175" s="10">
        <v>1000</v>
      </c>
      <c r="E175" s="10"/>
      <c r="F175" s="10">
        <f t="shared" si="64"/>
        <v>1000</v>
      </c>
      <c r="G175" s="10">
        <v>1000</v>
      </c>
      <c r="H175" s="10">
        <v>1000</v>
      </c>
      <c r="I175" s="10"/>
      <c r="J175" s="10">
        <f t="shared" si="65"/>
        <v>1000</v>
      </c>
      <c r="K175" s="10">
        <v>1000</v>
      </c>
      <c r="L175" s="10">
        <v>1000</v>
      </c>
      <c r="M175" s="10">
        <v>1000</v>
      </c>
      <c r="N175" s="10">
        <v>1000</v>
      </c>
      <c r="O175" s="10"/>
      <c r="P175" s="10">
        <f t="shared" si="66"/>
        <v>1000</v>
      </c>
      <c r="Q175" s="10">
        <f t="shared" si="67"/>
        <v>0</v>
      </c>
      <c r="R175" s="11">
        <f t="shared" si="68"/>
        <v>0</v>
      </c>
    </row>
    <row r="176" spans="2:18" ht="12.75">
      <c r="B176" s="8" t="s">
        <v>20</v>
      </c>
      <c r="C176" s="12">
        <f aca="true" t="shared" si="69" ref="C176:Q176">SUM(C170:C175)</f>
        <v>114942</v>
      </c>
      <c r="D176" s="12">
        <f t="shared" si="69"/>
        <v>103711.04000000001</v>
      </c>
      <c r="E176" s="12">
        <f t="shared" si="69"/>
        <v>-1100</v>
      </c>
      <c r="F176" s="12">
        <f t="shared" si="69"/>
        <v>102611.04000000001</v>
      </c>
      <c r="G176" s="12">
        <f t="shared" si="69"/>
        <v>113430</v>
      </c>
      <c r="H176" s="12">
        <f t="shared" si="69"/>
        <v>105111</v>
      </c>
      <c r="I176" s="12">
        <f t="shared" si="69"/>
        <v>0</v>
      </c>
      <c r="J176" s="12">
        <f t="shared" si="69"/>
        <v>105111</v>
      </c>
      <c r="K176" s="13">
        <f t="shared" si="69"/>
        <v>119666</v>
      </c>
      <c r="L176" s="13">
        <f>SUM(L170:L175)</f>
        <v>113646</v>
      </c>
      <c r="M176" s="13">
        <f>SUM(M170:M175)</f>
        <v>117662</v>
      </c>
      <c r="N176" s="13">
        <f>SUM(N170:N175)</f>
        <v>101621.18</v>
      </c>
      <c r="O176" s="13">
        <f>SUM(O170:O175)</f>
        <v>0</v>
      </c>
      <c r="P176" s="13">
        <f>SUM(P170:P175)</f>
        <v>101621.18</v>
      </c>
      <c r="Q176" s="13">
        <f t="shared" si="69"/>
        <v>-12024.82</v>
      </c>
      <c r="R176" s="14">
        <f>Q176/L176</f>
        <v>-0.10580944335920314</v>
      </c>
    </row>
    <row r="177" spans="3:18" ht="12.75" hidden="1">
      <c r="C177" s="9"/>
      <c r="D177" s="9"/>
      <c r="E177" s="9"/>
      <c r="F177" s="9"/>
      <c r="G177" s="9"/>
      <c r="H177" s="9"/>
      <c r="I177" s="9"/>
      <c r="J177" s="9"/>
      <c r="K177" s="10"/>
      <c r="L177" s="10"/>
      <c r="M177" s="10"/>
      <c r="N177" s="10"/>
      <c r="O177" s="10"/>
      <c r="P177" s="10"/>
      <c r="Q177" s="10"/>
      <c r="R177" s="11"/>
    </row>
    <row r="178" spans="2:18" ht="12.75" hidden="1">
      <c r="B178" t="s">
        <v>153</v>
      </c>
      <c r="C178" s="9">
        <v>1900</v>
      </c>
      <c r="D178" s="9">
        <v>1900</v>
      </c>
      <c r="E178" s="9">
        <v>-900</v>
      </c>
      <c r="F178" s="10">
        <f aca="true" t="shared" si="70" ref="F178:F184">D178+E178</f>
        <v>1000</v>
      </c>
      <c r="G178" s="10">
        <v>7100</v>
      </c>
      <c r="H178" s="10">
        <v>7100</v>
      </c>
      <c r="I178" s="9"/>
      <c r="J178" s="10">
        <f aca="true" t="shared" si="71" ref="J178:J184">H178+I178</f>
        <v>7100</v>
      </c>
      <c r="K178" s="10">
        <v>1600</v>
      </c>
      <c r="L178" s="10">
        <v>1600</v>
      </c>
      <c r="M178" s="10">
        <v>1900</v>
      </c>
      <c r="N178" s="10">
        <v>1600</v>
      </c>
      <c r="O178" s="10"/>
      <c r="P178" s="10">
        <f aca="true" t="shared" si="72" ref="P178:P184">N178+O178</f>
        <v>1600</v>
      </c>
      <c r="Q178" s="10">
        <f aca="true" t="shared" si="73" ref="Q178:Q184">P178-L178</f>
        <v>0</v>
      </c>
      <c r="R178" s="11">
        <f aca="true" t="shared" si="74" ref="R178:R184">Q178/L178</f>
        <v>0</v>
      </c>
    </row>
    <row r="179" spans="1:18" ht="12.75" hidden="1">
      <c r="A179" t="s">
        <v>154</v>
      </c>
      <c r="B179" t="s">
        <v>155</v>
      </c>
      <c r="C179" s="9">
        <v>4000</v>
      </c>
      <c r="D179" s="9">
        <v>4000</v>
      </c>
      <c r="E179" s="9"/>
      <c r="F179" s="10">
        <f t="shared" si="70"/>
        <v>4000</v>
      </c>
      <c r="G179" s="10">
        <v>5000</v>
      </c>
      <c r="H179" s="10">
        <v>5000</v>
      </c>
      <c r="I179" s="9"/>
      <c r="J179" s="10">
        <f t="shared" si="71"/>
        <v>5000</v>
      </c>
      <c r="K179" s="10">
        <v>7000</v>
      </c>
      <c r="L179" s="10">
        <v>7000</v>
      </c>
      <c r="M179" s="10">
        <v>7000</v>
      </c>
      <c r="N179" s="10">
        <v>7000</v>
      </c>
      <c r="O179" s="10"/>
      <c r="P179" s="10">
        <f t="shared" si="72"/>
        <v>7000</v>
      </c>
      <c r="Q179" s="10">
        <f t="shared" si="73"/>
        <v>0</v>
      </c>
      <c r="R179" s="11">
        <f t="shared" si="74"/>
        <v>0</v>
      </c>
    </row>
    <row r="180" spans="1:18" ht="12.75" hidden="1">
      <c r="A180" t="s">
        <v>156</v>
      </c>
      <c r="B180" t="s">
        <v>157</v>
      </c>
      <c r="C180" s="10">
        <v>3000</v>
      </c>
      <c r="D180" s="10">
        <v>3000</v>
      </c>
      <c r="E180" s="10"/>
      <c r="F180" s="10">
        <f t="shared" si="70"/>
        <v>3000</v>
      </c>
      <c r="G180" s="10">
        <v>3000</v>
      </c>
      <c r="H180" s="10">
        <v>3000</v>
      </c>
      <c r="I180" s="10"/>
      <c r="J180" s="10">
        <f t="shared" si="71"/>
        <v>3000</v>
      </c>
      <c r="K180" s="10">
        <v>6000</v>
      </c>
      <c r="L180" s="10">
        <v>6000</v>
      </c>
      <c r="M180" s="10">
        <v>6000</v>
      </c>
      <c r="N180" s="10">
        <v>6000</v>
      </c>
      <c r="O180" s="10"/>
      <c r="P180" s="10">
        <f t="shared" si="72"/>
        <v>6000</v>
      </c>
      <c r="Q180" s="10">
        <f t="shared" si="73"/>
        <v>0</v>
      </c>
      <c r="R180" s="11">
        <f t="shared" si="74"/>
        <v>0</v>
      </c>
    </row>
    <row r="181" spans="2:18" ht="12.75" hidden="1">
      <c r="B181" s="28" t="s">
        <v>158</v>
      </c>
      <c r="C181" s="10">
        <v>8000</v>
      </c>
      <c r="D181" s="10">
        <v>8000</v>
      </c>
      <c r="E181" s="10"/>
      <c r="F181" s="10">
        <f t="shared" si="70"/>
        <v>8000</v>
      </c>
      <c r="G181" s="10">
        <v>10600</v>
      </c>
      <c r="H181" s="10">
        <v>10600</v>
      </c>
      <c r="I181" s="10"/>
      <c r="J181" s="10">
        <f t="shared" si="71"/>
        <v>10600</v>
      </c>
      <c r="K181" s="10">
        <v>10600</v>
      </c>
      <c r="L181" s="10">
        <v>9600</v>
      </c>
      <c r="M181" s="10">
        <v>7500</v>
      </c>
      <c r="N181" s="10">
        <v>7500</v>
      </c>
      <c r="O181" s="10"/>
      <c r="P181" s="10">
        <f t="shared" si="72"/>
        <v>7500</v>
      </c>
      <c r="Q181" s="10">
        <f t="shared" si="73"/>
        <v>-2100</v>
      </c>
      <c r="R181" s="11">
        <f t="shared" si="74"/>
        <v>-0.21875</v>
      </c>
    </row>
    <row r="182" spans="2:18" ht="12.75" hidden="1">
      <c r="B182" s="29" t="s">
        <v>159</v>
      </c>
      <c r="C182" s="10">
        <v>6200</v>
      </c>
      <c r="D182" s="10">
        <v>1195</v>
      </c>
      <c r="E182" s="10"/>
      <c r="F182" s="10">
        <f t="shared" si="70"/>
        <v>1195</v>
      </c>
      <c r="G182" s="10">
        <v>6000</v>
      </c>
      <c r="H182" s="10">
        <v>2000</v>
      </c>
      <c r="I182" s="10"/>
      <c r="J182" s="10">
        <f t="shared" si="71"/>
        <v>2000</v>
      </c>
      <c r="K182" s="10">
        <v>6500</v>
      </c>
      <c r="L182" s="10">
        <v>6000</v>
      </c>
      <c r="M182" s="10">
        <v>3000</v>
      </c>
      <c r="N182" s="10">
        <v>3000</v>
      </c>
      <c r="O182" s="10"/>
      <c r="P182" s="10">
        <f t="shared" si="72"/>
        <v>3000</v>
      </c>
      <c r="Q182" s="10">
        <f t="shared" si="73"/>
        <v>-3000</v>
      </c>
      <c r="R182" s="11">
        <f t="shared" si="74"/>
        <v>-0.5</v>
      </c>
    </row>
    <row r="183" spans="2:18" ht="12.75" hidden="1">
      <c r="B183" t="s">
        <v>160</v>
      </c>
      <c r="C183" s="9">
        <v>1900</v>
      </c>
      <c r="D183" s="9">
        <v>500</v>
      </c>
      <c r="E183" s="9">
        <v>-200</v>
      </c>
      <c r="F183" s="10">
        <f t="shared" si="70"/>
        <v>300</v>
      </c>
      <c r="G183" s="10">
        <v>2600</v>
      </c>
      <c r="H183" s="10">
        <v>2600</v>
      </c>
      <c r="I183" s="9"/>
      <c r="J183" s="10">
        <f t="shared" si="71"/>
        <v>2600</v>
      </c>
      <c r="K183" s="10">
        <v>2850</v>
      </c>
      <c r="L183" s="10">
        <v>2850</v>
      </c>
      <c r="M183" s="10">
        <v>700</v>
      </c>
      <c r="N183" s="10">
        <v>700</v>
      </c>
      <c r="O183" s="10"/>
      <c r="P183" s="10">
        <f t="shared" si="72"/>
        <v>700</v>
      </c>
      <c r="Q183" s="10">
        <f t="shared" si="73"/>
        <v>-2150</v>
      </c>
      <c r="R183" s="11">
        <f t="shared" si="74"/>
        <v>-0.7543859649122807</v>
      </c>
    </row>
    <row r="184" spans="2:18" ht="12.75" hidden="1">
      <c r="B184" s="28" t="s">
        <v>50</v>
      </c>
      <c r="C184" s="24"/>
      <c r="D184" s="24"/>
      <c r="E184" s="10"/>
      <c r="F184" s="10">
        <f t="shared" si="70"/>
        <v>0</v>
      </c>
      <c r="G184" s="10">
        <v>0</v>
      </c>
      <c r="H184" s="10">
        <v>0</v>
      </c>
      <c r="I184" s="10"/>
      <c r="J184" s="10">
        <f t="shared" si="71"/>
        <v>0</v>
      </c>
      <c r="K184" s="10"/>
      <c r="L184" s="10"/>
      <c r="M184" s="10"/>
      <c r="N184" s="10"/>
      <c r="O184" s="10"/>
      <c r="P184" s="10">
        <f t="shared" si="72"/>
        <v>0</v>
      </c>
      <c r="Q184" s="10">
        <f t="shared" si="73"/>
        <v>0</v>
      </c>
      <c r="R184" s="11" t="e">
        <f t="shared" si="74"/>
        <v>#DIV/0!</v>
      </c>
    </row>
    <row r="185" spans="2:18" ht="12.75">
      <c r="B185" s="27" t="s">
        <v>23</v>
      </c>
      <c r="C185" s="25">
        <f aca="true" t="shared" si="75" ref="C185:Q185">SUM(C178:C184)</f>
        <v>25000</v>
      </c>
      <c r="D185" s="25">
        <f t="shared" si="75"/>
        <v>18595</v>
      </c>
      <c r="E185" s="12">
        <f t="shared" si="75"/>
        <v>-1100</v>
      </c>
      <c r="F185" s="12">
        <f t="shared" si="75"/>
        <v>17495</v>
      </c>
      <c r="G185" s="12">
        <f t="shared" si="75"/>
        <v>34300</v>
      </c>
      <c r="H185" s="12">
        <f t="shared" si="75"/>
        <v>30300</v>
      </c>
      <c r="I185" s="12">
        <f t="shared" si="75"/>
        <v>0</v>
      </c>
      <c r="J185" s="12">
        <f t="shared" si="75"/>
        <v>30300</v>
      </c>
      <c r="K185" s="13">
        <f t="shared" si="75"/>
        <v>34550</v>
      </c>
      <c r="L185" s="13">
        <f>SUM(L178:L184)</f>
        <v>33050</v>
      </c>
      <c r="M185" s="13">
        <f>SUM(M178:M184)</f>
        <v>26100</v>
      </c>
      <c r="N185" s="13">
        <f>SUM(N178:N184)</f>
        <v>25800</v>
      </c>
      <c r="O185" s="13">
        <f>SUM(O178:O184)</f>
        <v>0</v>
      </c>
      <c r="P185" s="13">
        <f>SUM(P178:P184)</f>
        <v>25800</v>
      </c>
      <c r="Q185" s="13">
        <f t="shared" si="75"/>
        <v>-7250</v>
      </c>
      <c r="R185" s="14">
        <f>Q185/L185</f>
        <v>-0.21936459909228442</v>
      </c>
    </row>
    <row r="186" spans="3:18" ht="12.75" hidden="1">
      <c r="C186" s="9"/>
      <c r="D186" s="9"/>
      <c r="E186" s="9"/>
      <c r="F186" s="9"/>
      <c r="G186" s="9"/>
      <c r="H186" s="9"/>
      <c r="I186" s="9"/>
      <c r="J186" s="9"/>
      <c r="K186" s="10"/>
      <c r="L186" s="10"/>
      <c r="M186" s="10"/>
      <c r="N186" s="10"/>
      <c r="O186" s="10"/>
      <c r="P186" s="10"/>
      <c r="Q186" s="10"/>
      <c r="R186" s="11"/>
    </row>
    <row r="187" spans="1:18" ht="12.75" hidden="1">
      <c r="A187" t="s">
        <v>161</v>
      </c>
      <c r="B187" t="s">
        <v>52</v>
      </c>
      <c r="C187" s="9">
        <v>1000</v>
      </c>
      <c r="D187" s="9">
        <v>1000</v>
      </c>
      <c r="E187" s="9">
        <v>-200</v>
      </c>
      <c r="F187" s="10">
        <f>D187+E187</f>
        <v>800</v>
      </c>
      <c r="G187" s="10">
        <v>1000</v>
      </c>
      <c r="H187" s="10">
        <v>1000</v>
      </c>
      <c r="I187" s="9"/>
      <c r="J187" s="10">
        <f>H187+I187</f>
        <v>1000</v>
      </c>
      <c r="K187" s="10">
        <v>1000</v>
      </c>
      <c r="L187" s="10">
        <v>1000</v>
      </c>
      <c r="M187" s="10">
        <v>1000</v>
      </c>
      <c r="N187" s="10">
        <v>1000</v>
      </c>
      <c r="O187" s="10"/>
      <c r="P187" s="10">
        <f>N187+O187</f>
        <v>1000</v>
      </c>
      <c r="Q187" s="10">
        <f>P187-L187</f>
        <v>0</v>
      </c>
      <c r="R187" s="11">
        <f>Q187/L187</f>
        <v>0</v>
      </c>
    </row>
    <row r="188" spans="2:18" ht="12.75">
      <c r="B188" s="8" t="s">
        <v>53</v>
      </c>
      <c r="C188" s="12">
        <f aca="true" t="shared" si="76" ref="C188:Q188">SUM(C187:C187)</f>
        <v>1000</v>
      </c>
      <c r="D188" s="12">
        <f t="shared" si="76"/>
        <v>1000</v>
      </c>
      <c r="E188" s="12">
        <f t="shared" si="76"/>
        <v>-200</v>
      </c>
      <c r="F188" s="12">
        <f t="shared" si="76"/>
        <v>800</v>
      </c>
      <c r="G188" s="12">
        <f t="shared" si="76"/>
        <v>1000</v>
      </c>
      <c r="H188" s="12">
        <f t="shared" si="76"/>
        <v>1000</v>
      </c>
      <c r="I188" s="12">
        <f t="shared" si="76"/>
        <v>0</v>
      </c>
      <c r="J188" s="12">
        <f t="shared" si="76"/>
        <v>1000</v>
      </c>
      <c r="K188" s="13">
        <f t="shared" si="76"/>
        <v>1000</v>
      </c>
      <c r="L188" s="13">
        <f>SUM(L187:L187)</f>
        <v>1000</v>
      </c>
      <c r="M188" s="13">
        <f>SUM(M187:M187)</f>
        <v>1000</v>
      </c>
      <c r="N188" s="13">
        <f>SUM(N187:N187)</f>
        <v>1000</v>
      </c>
      <c r="O188" s="13">
        <f>SUM(O187:O187)</f>
        <v>0</v>
      </c>
      <c r="P188" s="13">
        <f>SUM(P187:P187)</f>
        <v>1000</v>
      </c>
      <c r="Q188" s="13">
        <f t="shared" si="76"/>
        <v>0</v>
      </c>
      <c r="R188" s="14">
        <f>Q188/L188</f>
        <v>0</v>
      </c>
    </row>
    <row r="189" spans="3:18" ht="12.75" hidden="1">
      <c r="C189" s="9"/>
      <c r="D189" s="9"/>
      <c r="E189" s="9"/>
      <c r="F189" s="9"/>
      <c r="G189" s="9"/>
      <c r="H189" s="9"/>
      <c r="I189" s="9"/>
      <c r="J189" s="9"/>
      <c r="K189" s="10"/>
      <c r="L189" s="10"/>
      <c r="M189" s="10"/>
      <c r="N189" s="10"/>
      <c r="O189" s="10"/>
      <c r="P189" s="10"/>
      <c r="Q189" s="10"/>
      <c r="R189" s="11"/>
    </row>
    <row r="190" spans="2:18" ht="12.75" hidden="1">
      <c r="B190" t="s">
        <v>25</v>
      </c>
      <c r="C190" s="10">
        <v>1500</v>
      </c>
      <c r="D190" s="10">
        <v>850</v>
      </c>
      <c r="E190" s="10"/>
      <c r="F190" s="10">
        <f>D190+E190</f>
        <v>850</v>
      </c>
      <c r="G190" s="10">
        <v>2000</v>
      </c>
      <c r="H190" s="10">
        <v>1000</v>
      </c>
      <c r="I190" s="10"/>
      <c r="J190" s="10">
        <f>H190+I190</f>
        <v>1000</v>
      </c>
      <c r="K190" s="10">
        <v>2800</v>
      </c>
      <c r="L190" s="10">
        <v>1000</v>
      </c>
      <c r="M190" s="10">
        <v>2000</v>
      </c>
      <c r="N190" s="10">
        <v>1500</v>
      </c>
      <c r="O190" s="10"/>
      <c r="P190" s="10">
        <f>N190+O190</f>
        <v>1500</v>
      </c>
      <c r="Q190" s="10">
        <f>P190-L190</f>
        <v>500</v>
      </c>
      <c r="R190" s="11">
        <f>Q190/L190</f>
        <v>0.5</v>
      </c>
    </row>
    <row r="191" spans="1:18" ht="12.75" hidden="1">
      <c r="A191" t="s">
        <v>162</v>
      </c>
      <c r="B191" t="s">
        <v>55</v>
      </c>
      <c r="C191" s="10">
        <v>350</v>
      </c>
      <c r="D191" s="10">
        <v>350</v>
      </c>
      <c r="E191" s="10">
        <v>-50</v>
      </c>
      <c r="F191" s="10">
        <f>D191+E191</f>
        <v>300</v>
      </c>
      <c r="G191" s="10">
        <v>450</v>
      </c>
      <c r="H191" s="10">
        <v>450</v>
      </c>
      <c r="I191" s="10"/>
      <c r="J191" s="10">
        <f>H191+I191</f>
        <v>450</v>
      </c>
      <c r="K191" s="10">
        <v>450</v>
      </c>
      <c r="L191" s="10">
        <v>450</v>
      </c>
      <c r="M191" s="10">
        <v>450</v>
      </c>
      <c r="N191" s="10">
        <v>450</v>
      </c>
      <c r="O191" s="10"/>
      <c r="P191" s="10">
        <f>N191+O191</f>
        <v>450</v>
      </c>
      <c r="Q191" s="10">
        <f>P191-L191</f>
        <v>0</v>
      </c>
      <c r="R191" s="11">
        <f>Q191/L191</f>
        <v>0</v>
      </c>
    </row>
    <row r="192" spans="2:18" ht="12.75">
      <c r="B192" s="8" t="s">
        <v>27</v>
      </c>
      <c r="C192" s="12">
        <f aca="true" t="shared" si="77" ref="C192:Q192">SUM(C190:C191)</f>
        <v>1850</v>
      </c>
      <c r="D192" s="12">
        <f t="shared" si="77"/>
        <v>1200</v>
      </c>
      <c r="E192" s="12">
        <f t="shared" si="77"/>
        <v>-50</v>
      </c>
      <c r="F192" s="12">
        <f t="shared" si="77"/>
        <v>1150</v>
      </c>
      <c r="G192" s="12">
        <f t="shared" si="77"/>
        <v>2450</v>
      </c>
      <c r="H192" s="12">
        <f t="shared" si="77"/>
        <v>1450</v>
      </c>
      <c r="I192" s="12">
        <f t="shared" si="77"/>
        <v>0</v>
      </c>
      <c r="J192" s="12">
        <f t="shared" si="77"/>
        <v>1450</v>
      </c>
      <c r="K192" s="13">
        <f t="shared" si="77"/>
        <v>3250</v>
      </c>
      <c r="L192" s="13">
        <f t="shared" si="77"/>
        <v>1450</v>
      </c>
      <c r="M192" s="13">
        <f t="shared" si="77"/>
        <v>2450</v>
      </c>
      <c r="N192" s="13">
        <f t="shared" si="77"/>
        <v>1950</v>
      </c>
      <c r="O192" s="13">
        <f t="shared" si="77"/>
        <v>0</v>
      </c>
      <c r="P192" s="13">
        <f t="shared" si="77"/>
        <v>1950</v>
      </c>
      <c r="Q192" s="13">
        <f t="shared" si="77"/>
        <v>500</v>
      </c>
      <c r="R192" s="14">
        <f>Q192/L192</f>
        <v>0.3448275862068966</v>
      </c>
    </row>
    <row r="193" spans="3:18" ht="12.75" hidden="1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24"/>
      <c r="R193" s="15"/>
    </row>
    <row r="194" spans="2:18" s="16" customFormat="1" ht="12.75">
      <c r="B194" s="17" t="s">
        <v>163</v>
      </c>
      <c r="C194" s="18">
        <f aca="true" t="shared" si="78" ref="C194:Q194">SUM(C192+C188+C185+C176)</f>
        <v>142792</v>
      </c>
      <c r="D194" s="18">
        <f t="shared" si="78"/>
        <v>124506.04000000001</v>
      </c>
      <c r="E194" s="18">
        <f t="shared" si="78"/>
        <v>-2450</v>
      </c>
      <c r="F194" s="18">
        <f t="shared" si="78"/>
        <v>122056.04000000001</v>
      </c>
      <c r="G194" s="18">
        <f t="shared" si="78"/>
        <v>151180</v>
      </c>
      <c r="H194" s="18">
        <f t="shared" si="78"/>
        <v>137861</v>
      </c>
      <c r="I194" s="18">
        <f t="shared" si="78"/>
        <v>0</v>
      </c>
      <c r="J194" s="18">
        <f t="shared" si="78"/>
        <v>137861</v>
      </c>
      <c r="K194" s="18">
        <f t="shared" si="78"/>
        <v>158466</v>
      </c>
      <c r="L194" s="18">
        <f t="shared" si="78"/>
        <v>149146</v>
      </c>
      <c r="M194" s="18">
        <f>SUM(M192+M188+M185+M176)</f>
        <v>147212</v>
      </c>
      <c r="N194" s="18">
        <f>SUM(N192+N188+N185+N176)</f>
        <v>130371.18</v>
      </c>
      <c r="O194" s="18">
        <f>SUM(O192+O188+O185+O176)</f>
        <v>0</v>
      </c>
      <c r="P194" s="18">
        <f>SUM(P192+P188+P185+P176)</f>
        <v>130371.18</v>
      </c>
      <c r="Q194" s="18">
        <f t="shared" si="78"/>
        <v>-18774.82</v>
      </c>
      <c r="R194" s="19">
        <f>Q194/L194</f>
        <v>-0.12588215574001313</v>
      </c>
    </row>
    <row r="195" spans="3:17" ht="12.7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9"/>
    </row>
    <row r="196" spans="2:18" ht="12.75">
      <c r="B196" s="8" t="s">
        <v>164</v>
      </c>
      <c r="C196" s="9"/>
      <c r="D196" s="9"/>
      <c r="E196" s="9"/>
      <c r="F196" s="9"/>
      <c r="G196" s="9"/>
      <c r="H196" s="9"/>
      <c r="I196" s="9"/>
      <c r="J196" s="9"/>
      <c r="K196" s="10"/>
      <c r="L196" s="10"/>
      <c r="M196" s="10"/>
      <c r="N196" s="10"/>
      <c r="O196" s="10"/>
      <c r="P196" s="10"/>
      <c r="Q196" s="28"/>
      <c r="R196" s="28"/>
    </row>
    <row r="197" spans="1:18" ht="12.75" hidden="1">
      <c r="A197" t="s">
        <v>165</v>
      </c>
      <c r="B197" t="s">
        <v>166</v>
      </c>
      <c r="C197" s="10">
        <v>1400</v>
      </c>
      <c r="D197" s="10">
        <v>1400</v>
      </c>
      <c r="E197" s="10"/>
      <c r="F197" s="10">
        <f>D197+E197</f>
        <v>1400</v>
      </c>
      <c r="G197" s="10">
        <v>1800</v>
      </c>
      <c r="H197" s="10">
        <v>1800</v>
      </c>
      <c r="I197" s="10"/>
      <c r="J197" s="10">
        <f>H197+I197</f>
        <v>1800</v>
      </c>
      <c r="K197" s="10">
        <v>1800</v>
      </c>
      <c r="L197" s="10">
        <v>1800</v>
      </c>
      <c r="M197" s="10">
        <v>1800</v>
      </c>
      <c r="N197" s="10">
        <v>1800</v>
      </c>
      <c r="O197" s="10"/>
      <c r="P197" s="10">
        <f>N197+O197</f>
        <v>1800</v>
      </c>
      <c r="Q197" s="10">
        <f>P197-L197</f>
        <v>0</v>
      </c>
      <c r="R197" s="11">
        <f>Q197/L197</f>
        <v>0</v>
      </c>
    </row>
    <row r="198" spans="2:18" ht="12.75" hidden="1">
      <c r="B198" t="s">
        <v>167</v>
      </c>
      <c r="C198" s="10">
        <v>200</v>
      </c>
      <c r="D198" s="10">
        <v>0</v>
      </c>
      <c r="E198" s="10"/>
      <c r="F198" s="10">
        <f>D198+E198</f>
        <v>0</v>
      </c>
      <c r="G198" s="10"/>
      <c r="H198" s="10">
        <v>0</v>
      </c>
      <c r="I198" s="10"/>
      <c r="J198" s="10">
        <f>H198+I198</f>
        <v>0</v>
      </c>
      <c r="K198" s="10">
        <v>0</v>
      </c>
      <c r="L198" s="10">
        <v>0</v>
      </c>
      <c r="M198" s="10">
        <v>0</v>
      </c>
      <c r="N198" s="10">
        <v>0</v>
      </c>
      <c r="O198" s="10"/>
      <c r="P198" s="10"/>
      <c r="Q198" s="10">
        <f>H198-F198</f>
        <v>0</v>
      </c>
      <c r="R198" s="11" t="e">
        <f>Q198/F198</f>
        <v>#DIV/0!</v>
      </c>
    </row>
    <row r="199" spans="2:18" ht="12.75">
      <c r="B199" s="8" t="s">
        <v>20</v>
      </c>
      <c r="C199" s="12">
        <f>SUM(C197:C198)</f>
        <v>1600</v>
      </c>
      <c r="D199" s="12">
        <f>SUM(D197:D198)</f>
        <v>1400</v>
      </c>
      <c r="E199" s="12">
        <f>SUM(E197:E198)</f>
        <v>0</v>
      </c>
      <c r="F199" s="12">
        <f>SUM(F197:F198)</f>
        <v>1400</v>
      </c>
      <c r="G199" s="12">
        <v>1800</v>
      </c>
      <c r="H199" s="12">
        <f aca="true" t="shared" si="79" ref="H199:Q199">SUM(H197:H198)</f>
        <v>1800</v>
      </c>
      <c r="I199" s="12">
        <f t="shared" si="79"/>
        <v>0</v>
      </c>
      <c r="J199" s="12">
        <f t="shared" si="79"/>
        <v>1800</v>
      </c>
      <c r="K199" s="13">
        <f t="shared" si="79"/>
        <v>1800</v>
      </c>
      <c r="L199" s="13">
        <f t="shared" si="79"/>
        <v>1800</v>
      </c>
      <c r="M199" s="13">
        <f>SUM(M197:M198)</f>
        <v>1800</v>
      </c>
      <c r="N199" s="13">
        <f>SUM(N197:N198)</f>
        <v>1800</v>
      </c>
      <c r="O199" s="13">
        <f>SUM(O197:O198)</f>
        <v>0</v>
      </c>
      <c r="P199" s="13">
        <f>SUM(P197:P198)</f>
        <v>1800</v>
      </c>
      <c r="Q199" s="13">
        <f t="shared" si="79"/>
        <v>0</v>
      </c>
      <c r="R199" s="14">
        <f>Q199/L199</f>
        <v>0</v>
      </c>
    </row>
    <row r="200" spans="2:18" ht="12.75" hidden="1">
      <c r="B200" s="8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4"/>
    </row>
    <row r="201" spans="2:18" ht="12.75" hidden="1">
      <c r="B201" s="8" t="s">
        <v>60</v>
      </c>
      <c r="C201" s="13"/>
      <c r="D201" s="13"/>
      <c r="E201" s="13"/>
      <c r="F201" s="13"/>
      <c r="G201" s="13"/>
      <c r="H201" s="13">
        <v>150</v>
      </c>
      <c r="I201" s="13"/>
      <c r="J201" s="10">
        <f>H201+I201</f>
        <v>150</v>
      </c>
      <c r="K201" s="13">
        <v>150</v>
      </c>
      <c r="L201" s="13">
        <v>150</v>
      </c>
      <c r="M201" s="13">
        <v>150</v>
      </c>
      <c r="N201" s="13">
        <v>150</v>
      </c>
      <c r="O201" s="13"/>
      <c r="P201" s="10">
        <f>N201+O201</f>
        <v>150</v>
      </c>
      <c r="Q201" s="10">
        <f>P201-L201</f>
        <v>0</v>
      </c>
      <c r="R201" s="11">
        <f>Q201/L201</f>
        <v>0</v>
      </c>
    </row>
    <row r="202" spans="2:18" ht="12.75">
      <c r="B202" s="8" t="s">
        <v>23</v>
      </c>
      <c r="C202" s="12">
        <f aca="true" t="shared" si="80" ref="C202:Q202">SUM(C201)</f>
        <v>0</v>
      </c>
      <c r="D202" s="12">
        <f t="shared" si="80"/>
        <v>0</v>
      </c>
      <c r="E202" s="12">
        <f t="shared" si="80"/>
        <v>0</v>
      </c>
      <c r="F202" s="12">
        <f t="shared" si="80"/>
        <v>0</v>
      </c>
      <c r="G202" s="12">
        <f t="shared" si="80"/>
        <v>0</v>
      </c>
      <c r="H202" s="12">
        <f t="shared" si="80"/>
        <v>150</v>
      </c>
      <c r="I202" s="12">
        <f t="shared" si="80"/>
        <v>0</v>
      </c>
      <c r="J202" s="12">
        <f t="shared" si="80"/>
        <v>150</v>
      </c>
      <c r="K202" s="13">
        <f t="shared" si="80"/>
        <v>150</v>
      </c>
      <c r="L202" s="13">
        <f t="shared" si="80"/>
        <v>150</v>
      </c>
      <c r="M202" s="13">
        <f t="shared" si="80"/>
        <v>150</v>
      </c>
      <c r="N202" s="13">
        <f t="shared" si="80"/>
        <v>150</v>
      </c>
      <c r="O202" s="13">
        <f t="shared" si="80"/>
        <v>0</v>
      </c>
      <c r="P202" s="13">
        <f t="shared" si="80"/>
        <v>150</v>
      </c>
      <c r="Q202" s="13">
        <f t="shared" si="80"/>
        <v>0</v>
      </c>
      <c r="R202" s="14">
        <f>Q202/L202</f>
        <v>0</v>
      </c>
    </row>
    <row r="203" spans="3:18" ht="12.75" hidden="1">
      <c r="C203" s="9"/>
      <c r="D203" s="9"/>
      <c r="E203" s="9"/>
      <c r="F203" s="9"/>
      <c r="G203" s="9"/>
      <c r="H203" s="9"/>
      <c r="I203" s="9"/>
      <c r="J203" s="9"/>
      <c r="K203" s="10"/>
      <c r="L203" s="10"/>
      <c r="M203" s="10"/>
      <c r="N203" s="10"/>
      <c r="O203" s="10"/>
      <c r="P203" s="10"/>
      <c r="Q203" s="10"/>
      <c r="R203" s="11"/>
    </row>
    <row r="204" spans="1:18" ht="12.75" hidden="1">
      <c r="A204" t="s">
        <v>168</v>
      </c>
      <c r="B204" t="s">
        <v>52</v>
      </c>
      <c r="C204" s="10">
        <v>200</v>
      </c>
      <c r="D204" s="10">
        <v>200</v>
      </c>
      <c r="E204" s="10"/>
      <c r="F204" s="10">
        <f>D204+E204</f>
        <v>200</v>
      </c>
      <c r="G204" s="10">
        <v>350</v>
      </c>
      <c r="H204" s="10">
        <v>350</v>
      </c>
      <c r="I204" s="10"/>
      <c r="J204" s="10">
        <f>H204+I204</f>
        <v>350</v>
      </c>
      <c r="K204" s="10">
        <v>350</v>
      </c>
      <c r="L204" s="10">
        <v>350</v>
      </c>
      <c r="M204" s="10">
        <v>350</v>
      </c>
      <c r="N204" s="10">
        <v>350</v>
      </c>
      <c r="O204" s="10"/>
      <c r="P204" s="10">
        <f>N204+O204</f>
        <v>350</v>
      </c>
      <c r="Q204" s="10">
        <f>P204-L204</f>
        <v>0</v>
      </c>
      <c r="R204" s="11">
        <f>Q204/L204</f>
        <v>0</v>
      </c>
    </row>
    <row r="205" spans="2:18" ht="12.75">
      <c r="B205" s="8" t="s">
        <v>53</v>
      </c>
      <c r="C205" s="12">
        <f>SUM(C204)</f>
        <v>200</v>
      </c>
      <c r="D205" s="12">
        <f>SUM(D204)</f>
        <v>200</v>
      </c>
      <c r="E205" s="12">
        <f>SUM(E204)</f>
        <v>0</v>
      </c>
      <c r="F205" s="12">
        <f>SUM(F204)</f>
        <v>200</v>
      </c>
      <c r="G205" s="12">
        <v>350</v>
      </c>
      <c r="H205" s="12">
        <f aca="true" t="shared" si="81" ref="H205:Q205">SUM(H204)</f>
        <v>350</v>
      </c>
      <c r="I205" s="12">
        <f t="shared" si="81"/>
        <v>0</v>
      </c>
      <c r="J205" s="12">
        <f t="shared" si="81"/>
        <v>350</v>
      </c>
      <c r="K205" s="13">
        <f t="shared" si="81"/>
        <v>350</v>
      </c>
      <c r="L205" s="13">
        <f t="shared" si="81"/>
        <v>350</v>
      </c>
      <c r="M205" s="13">
        <f>SUM(M204)</f>
        <v>350</v>
      </c>
      <c r="N205" s="13">
        <f>SUM(N204)</f>
        <v>350</v>
      </c>
      <c r="O205" s="13">
        <f>SUM(O204)</f>
        <v>0</v>
      </c>
      <c r="P205" s="13">
        <f>SUM(P204)</f>
        <v>350</v>
      </c>
      <c r="Q205" s="13">
        <f t="shared" si="81"/>
        <v>0</v>
      </c>
      <c r="R205" s="14">
        <f>Q205/L205</f>
        <v>0</v>
      </c>
    </row>
    <row r="206" spans="3:18" ht="12.75" hidden="1">
      <c r="C206" s="9"/>
      <c r="D206" s="9"/>
      <c r="E206" s="9"/>
      <c r="F206" s="9"/>
      <c r="G206" s="9"/>
      <c r="H206" s="9"/>
      <c r="I206" s="9"/>
      <c r="J206" s="9"/>
      <c r="K206" s="10"/>
      <c r="L206" s="10"/>
      <c r="M206" s="10"/>
      <c r="N206" s="10"/>
      <c r="O206" s="10"/>
      <c r="P206" s="10"/>
      <c r="Q206" s="10"/>
      <c r="R206" s="11"/>
    </row>
    <row r="207" spans="1:18" ht="12.75" hidden="1">
      <c r="A207" t="s">
        <v>169</v>
      </c>
      <c r="B207" t="s">
        <v>25</v>
      </c>
      <c r="C207" s="10">
        <v>0</v>
      </c>
      <c r="D207" s="10">
        <v>0</v>
      </c>
      <c r="E207" s="10"/>
      <c r="F207" s="10">
        <f>D207+E207</f>
        <v>0</v>
      </c>
      <c r="G207" s="10">
        <v>150</v>
      </c>
      <c r="H207" s="10"/>
      <c r="I207" s="10"/>
      <c r="J207" s="10">
        <f>H207+I207</f>
        <v>0</v>
      </c>
      <c r="K207" s="10"/>
      <c r="L207" s="10"/>
      <c r="M207" s="10"/>
      <c r="N207" s="10"/>
      <c r="O207" s="10"/>
      <c r="P207" s="10">
        <f>N207+O207</f>
        <v>0</v>
      </c>
      <c r="Q207" s="10">
        <f>P207-L207</f>
        <v>0</v>
      </c>
      <c r="R207" s="11" t="e">
        <f>Q207/L207</f>
        <v>#DIV/0!</v>
      </c>
    </row>
    <row r="208" spans="2:18" ht="12.75">
      <c r="B208" s="8" t="s">
        <v>27</v>
      </c>
      <c r="C208" s="12">
        <f aca="true" t="shared" si="82" ref="C208:Q208">SUM(C207)</f>
        <v>0</v>
      </c>
      <c r="D208" s="12">
        <f t="shared" si="82"/>
        <v>0</v>
      </c>
      <c r="E208" s="12">
        <f t="shared" si="82"/>
        <v>0</v>
      </c>
      <c r="F208" s="12">
        <f t="shared" si="82"/>
        <v>0</v>
      </c>
      <c r="G208" s="12">
        <f t="shared" si="82"/>
        <v>150</v>
      </c>
      <c r="H208" s="12">
        <f t="shared" si="82"/>
        <v>0</v>
      </c>
      <c r="I208" s="12">
        <f t="shared" si="82"/>
        <v>0</v>
      </c>
      <c r="J208" s="12">
        <f t="shared" si="82"/>
        <v>0</v>
      </c>
      <c r="K208" s="13">
        <f t="shared" si="82"/>
        <v>0</v>
      </c>
      <c r="L208" s="13">
        <f t="shared" si="82"/>
        <v>0</v>
      </c>
      <c r="M208" s="13">
        <f t="shared" si="82"/>
        <v>0</v>
      </c>
      <c r="N208" s="13">
        <f t="shared" si="82"/>
        <v>0</v>
      </c>
      <c r="O208" s="13">
        <f t="shared" si="82"/>
        <v>0</v>
      </c>
      <c r="P208" s="13">
        <f t="shared" si="82"/>
        <v>0</v>
      </c>
      <c r="Q208" s="13">
        <f t="shared" si="82"/>
        <v>0</v>
      </c>
      <c r="R208" s="14" t="e">
        <f>Q208/L208</f>
        <v>#DIV/0!</v>
      </c>
    </row>
    <row r="209" spans="3:18" ht="12.75" hidden="1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24"/>
      <c r="R209" s="15"/>
    </row>
    <row r="210" spans="2:18" s="16" customFormat="1" ht="12.75">
      <c r="B210" s="17" t="s">
        <v>170</v>
      </c>
      <c r="C210" s="18">
        <f aca="true" t="shared" si="83" ref="C210:Q210">SUM(C208+C202+C205+C199)</f>
        <v>1800</v>
      </c>
      <c r="D210" s="18">
        <f t="shared" si="83"/>
        <v>1600</v>
      </c>
      <c r="E210" s="18">
        <f t="shared" si="83"/>
        <v>0</v>
      </c>
      <c r="F210" s="18">
        <f t="shared" si="83"/>
        <v>1600</v>
      </c>
      <c r="G210" s="18">
        <f t="shared" si="83"/>
        <v>2300</v>
      </c>
      <c r="H210" s="18">
        <f t="shared" si="83"/>
        <v>2300</v>
      </c>
      <c r="I210" s="18">
        <f t="shared" si="83"/>
        <v>0</v>
      </c>
      <c r="J210" s="18">
        <f t="shared" si="83"/>
        <v>2300</v>
      </c>
      <c r="K210" s="18">
        <f t="shared" si="83"/>
        <v>2300</v>
      </c>
      <c r="L210" s="18">
        <f t="shared" si="83"/>
        <v>2300</v>
      </c>
      <c r="M210" s="18">
        <f t="shared" si="83"/>
        <v>2300</v>
      </c>
      <c r="N210" s="18">
        <f t="shared" si="83"/>
        <v>2300</v>
      </c>
      <c r="O210" s="18">
        <f>SUM(O208+O202+O205+O199)</f>
        <v>0</v>
      </c>
      <c r="P210" s="18">
        <f>SUM(P208+P202+P205+P199)</f>
        <v>2300</v>
      </c>
      <c r="Q210" s="18">
        <f t="shared" si="83"/>
        <v>0</v>
      </c>
      <c r="R210" s="19">
        <f>Q210/L210</f>
        <v>0</v>
      </c>
    </row>
    <row r="211" spans="3:17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9">
        <f>L210-J210</f>
        <v>0</v>
      </c>
    </row>
    <row r="212" spans="2:18" ht="12.75">
      <c r="B212" s="8" t="s">
        <v>171</v>
      </c>
      <c r="C212" s="9"/>
      <c r="D212" s="9"/>
      <c r="E212" s="9"/>
      <c r="F212" s="9"/>
      <c r="G212" s="9"/>
      <c r="H212" s="9"/>
      <c r="I212" s="9"/>
      <c r="J212" s="9"/>
      <c r="K212" s="10"/>
      <c r="L212" s="10"/>
      <c r="M212" s="10"/>
      <c r="N212" s="10"/>
      <c r="O212" s="10"/>
      <c r="P212" s="10"/>
      <c r="Q212" s="28"/>
      <c r="R212" s="28"/>
    </row>
    <row r="213" spans="1:18" ht="12.75" hidden="1">
      <c r="A213" t="s">
        <v>172</v>
      </c>
      <c r="B213" t="s">
        <v>173</v>
      </c>
      <c r="C213" s="9">
        <v>42679</v>
      </c>
      <c r="D213" s="9">
        <v>44386</v>
      </c>
      <c r="E213" s="9"/>
      <c r="F213" s="10">
        <f>D213+E213</f>
        <v>44386</v>
      </c>
      <c r="G213" s="10">
        <v>44386</v>
      </c>
      <c r="H213" s="10">
        <v>44386</v>
      </c>
      <c r="I213" s="9"/>
      <c r="J213" s="10">
        <f>H213+I213</f>
        <v>44386</v>
      </c>
      <c r="K213" s="10">
        <v>47089</v>
      </c>
      <c r="L213" s="10">
        <v>35317</v>
      </c>
      <c r="M213" s="10">
        <v>47089</v>
      </c>
      <c r="N213" s="10">
        <v>35317</v>
      </c>
      <c r="O213" s="10"/>
      <c r="P213" s="10">
        <f>N213+O213</f>
        <v>35317</v>
      </c>
      <c r="Q213" s="10">
        <f>P213-L213</f>
        <v>0</v>
      </c>
      <c r="R213" s="11">
        <f>Q213/L213</f>
        <v>0</v>
      </c>
    </row>
    <row r="214" spans="1:18" ht="12.75" hidden="1">
      <c r="A214" t="s">
        <v>174</v>
      </c>
      <c r="B214" t="s">
        <v>175</v>
      </c>
      <c r="C214" s="9">
        <v>8000</v>
      </c>
      <c r="D214" s="9">
        <v>5000</v>
      </c>
      <c r="E214" s="9"/>
      <c r="F214" s="10">
        <f>D214+E214</f>
        <v>5000</v>
      </c>
      <c r="G214" s="10">
        <v>8000</v>
      </c>
      <c r="H214" s="10">
        <v>5000</v>
      </c>
      <c r="I214" s="9"/>
      <c r="J214" s="10">
        <f>H214+I214</f>
        <v>5000</v>
      </c>
      <c r="K214" s="10">
        <v>5000</v>
      </c>
      <c r="L214" s="10">
        <v>5000</v>
      </c>
      <c r="M214" s="10">
        <v>6000</v>
      </c>
      <c r="N214" s="10">
        <v>6000</v>
      </c>
      <c r="O214" s="10"/>
      <c r="P214" s="10">
        <f>N214+O214</f>
        <v>6000</v>
      </c>
      <c r="Q214" s="10">
        <f>P214-L214</f>
        <v>1000</v>
      </c>
      <c r="R214" s="11">
        <f>Q214/L214</f>
        <v>0.2</v>
      </c>
    </row>
    <row r="215" spans="2:18" ht="12.75" hidden="1">
      <c r="B215" t="s">
        <v>76</v>
      </c>
      <c r="C215" s="9">
        <v>1500</v>
      </c>
      <c r="D215" s="9">
        <v>1500</v>
      </c>
      <c r="E215" s="9"/>
      <c r="F215" s="10">
        <f>D215+E215</f>
        <v>1500</v>
      </c>
      <c r="G215" s="10">
        <v>1500</v>
      </c>
      <c r="H215" s="10">
        <v>1500</v>
      </c>
      <c r="I215" s="9"/>
      <c r="J215" s="10">
        <f>H215+I215</f>
        <v>1500</v>
      </c>
      <c r="K215" s="10">
        <v>1500</v>
      </c>
      <c r="L215" s="10">
        <v>1500</v>
      </c>
      <c r="M215" s="10">
        <v>1500</v>
      </c>
      <c r="N215" s="10">
        <v>1500</v>
      </c>
      <c r="O215" s="10"/>
      <c r="P215" s="10">
        <f>N215+O215</f>
        <v>1500</v>
      </c>
      <c r="Q215" s="10">
        <f>P215-L215</f>
        <v>0</v>
      </c>
      <c r="R215" s="11">
        <f>Q215/L215</f>
        <v>0</v>
      </c>
    </row>
    <row r="216" spans="2:18" ht="12.75" hidden="1">
      <c r="B216" s="20" t="s">
        <v>39</v>
      </c>
      <c r="C216" s="9"/>
      <c r="D216" s="9"/>
      <c r="E216" s="9"/>
      <c r="F216" s="10"/>
      <c r="G216" s="10">
        <v>1100</v>
      </c>
      <c r="H216" s="10">
        <v>1100</v>
      </c>
      <c r="I216" s="9"/>
      <c r="J216" s="10">
        <f>H216+I216</f>
        <v>1100</v>
      </c>
      <c r="K216" s="10">
        <v>1200</v>
      </c>
      <c r="L216" s="10">
        <v>1200</v>
      </c>
      <c r="M216" s="10">
        <v>1200</v>
      </c>
      <c r="N216" s="10">
        <v>1200</v>
      </c>
      <c r="O216" s="10"/>
      <c r="P216" s="10">
        <f>N216+O216</f>
        <v>1200</v>
      </c>
      <c r="Q216" s="10">
        <f>P216-L216</f>
        <v>0</v>
      </c>
      <c r="R216" s="11">
        <f>Q216/L216</f>
        <v>0</v>
      </c>
    </row>
    <row r="217" spans="2:18" ht="12.75">
      <c r="B217" s="8" t="s">
        <v>20</v>
      </c>
      <c r="C217" s="12">
        <f aca="true" t="shared" si="84" ref="C217:Q217">SUM(C213:C216)</f>
        <v>52179</v>
      </c>
      <c r="D217" s="12">
        <f t="shared" si="84"/>
        <v>50886</v>
      </c>
      <c r="E217" s="12">
        <f t="shared" si="84"/>
        <v>0</v>
      </c>
      <c r="F217" s="12">
        <f t="shared" si="84"/>
        <v>50886</v>
      </c>
      <c r="G217" s="12">
        <f t="shared" si="84"/>
        <v>54986</v>
      </c>
      <c r="H217" s="12">
        <f t="shared" si="84"/>
        <v>51986</v>
      </c>
      <c r="I217" s="12">
        <f t="shared" si="84"/>
        <v>0</v>
      </c>
      <c r="J217" s="12">
        <f t="shared" si="84"/>
        <v>51986</v>
      </c>
      <c r="K217" s="13">
        <f t="shared" si="84"/>
        <v>54789</v>
      </c>
      <c r="L217" s="13">
        <f t="shared" si="84"/>
        <v>43017</v>
      </c>
      <c r="M217" s="13">
        <f t="shared" si="84"/>
        <v>55789</v>
      </c>
      <c r="N217" s="13">
        <f t="shared" si="84"/>
        <v>44017</v>
      </c>
      <c r="O217" s="13">
        <f t="shared" si="84"/>
        <v>0</v>
      </c>
      <c r="P217" s="13">
        <f t="shared" si="84"/>
        <v>44017</v>
      </c>
      <c r="Q217" s="13">
        <f t="shared" si="84"/>
        <v>1000</v>
      </c>
      <c r="R217" s="14">
        <f>Q217/L217</f>
        <v>0.023246623427947092</v>
      </c>
    </row>
    <row r="218" spans="3:18" ht="12.75" hidden="1">
      <c r="C218" s="9"/>
      <c r="D218" s="9"/>
      <c r="E218" s="9"/>
      <c r="F218" s="9"/>
      <c r="G218" s="9"/>
      <c r="H218" s="9"/>
      <c r="I218" s="9"/>
      <c r="J218" s="9"/>
      <c r="K218" s="10"/>
      <c r="L218" s="10"/>
      <c r="M218" s="10"/>
      <c r="N218" s="10"/>
      <c r="O218" s="10"/>
      <c r="P218" s="10"/>
      <c r="Q218" s="10"/>
      <c r="R218" s="11"/>
    </row>
    <row r="219" spans="1:18" ht="12.75" hidden="1">
      <c r="A219" t="s">
        <v>176</v>
      </c>
      <c r="B219" t="s">
        <v>52</v>
      </c>
      <c r="C219" s="10">
        <v>150</v>
      </c>
      <c r="D219" s="10">
        <v>150</v>
      </c>
      <c r="E219" s="10"/>
      <c r="F219" s="10">
        <f>D219+E219</f>
        <v>150</v>
      </c>
      <c r="G219" s="10">
        <v>300</v>
      </c>
      <c r="H219" s="10">
        <v>300</v>
      </c>
      <c r="I219" s="10"/>
      <c r="J219" s="10">
        <f>H219+I219</f>
        <v>300</v>
      </c>
      <c r="K219" s="10">
        <v>300</v>
      </c>
      <c r="L219" s="10">
        <v>300</v>
      </c>
      <c r="M219" s="10">
        <v>600</v>
      </c>
      <c r="N219" s="10">
        <v>600</v>
      </c>
      <c r="O219" s="10"/>
      <c r="P219" s="10">
        <f>N219+O219</f>
        <v>600</v>
      </c>
      <c r="Q219" s="10">
        <f>P219-L219</f>
        <v>300</v>
      </c>
      <c r="R219" s="11">
        <f>Q219/L219</f>
        <v>1</v>
      </c>
    </row>
    <row r="220" spans="2:18" ht="12.75">
      <c r="B220" s="8" t="s">
        <v>53</v>
      </c>
      <c r="C220" s="12">
        <f aca="true" t="shared" si="85" ref="C220:Q220">SUM(C219:C219)</f>
        <v>150</v>
      </c>
      <c r="D220" s="12">
        <f t="shared" si="85"/>
        <v>150</v>
      </c>
      <c r="E220" s="12">
        <f t="shared" si="85"/>
        <v>0</v>
      </c>
      <c r="F220" s="12">
        <f t="shared" si="85"/>
        <v>150</v>
      </c>
      <c r="G220" s="12">
        <f t="shared" si="85"/>
        <v>300</v>
      </c>
      <c r="H220" s="12">
        <f t="shared" si="85"/>
        <v>300</v>
      </c>
      <c r="I220" s="12">
        <f t="shared" si="85"/>
        <v>0</v>
      </c>
      <c r="J220" s="12">
        <f t="shared" si="85"/>
        <v>300</v>
      </c>
      <c r="K220" s="13">
        <f t="shared" si="85"/>
        <v>300</v>
      </c>
      <c r="L220" s="13">
        <f t="shared" si="85"/>
        <v>300</v>
      </c>
      <c r="M220" s="13">
        <f t="shared" si="85"/>
        <v>600</v>
      </c>
      <c r="N220" s="13">
        <f t="shared" si="85"/>
        <v>600</v>
      </c>
      <c r="O220" s="13">
        <f t="shared" si="85"/>
        <v>0</v>
      </c>
      <c r="P220" s="13">
        <f t="shared" si="85"/>
        <v>600</v>
      </c>
      <c r="Q220" s="13">
        <f t="shared" si="85"/>
        <v>300</v>
      </c>
      <c r="R220" s="14">
        <f>Q220/L220</f>
        <v>1</v>
      </c>
    </row>
    <row r="221" spans="3:18" ht="12.75" hidden="1">
      <c r="C221" s="9"/>
      <c r="D221" s="9"/>
      <c r="E221" s="9"/>
      <c r="F221" s="9"/>
      <c r="G221" s="9"/>
      <c r="H221" s="9"/>
      <c r="I221" s="9"/>
      <c r="J221" s="9"/>
      <c r="K221" s="10"/>
      <c r="L221" s="10"/>
      <c r="M221" s="10"/>
      <c r="N221" s="10"/>
      <c r="O221" s="10"/>
      <c r="P221" s="10"/>
      <c r="Q221" s="10"/>
      <c r="R221" s="11"/>
    </row>
    <row r="222" spans="1:18" ht="12.75" hidden="1">
      <c r="A222" t="s">
        <v>177</v>
      </c>
      <c r="B222" t="s">
        <v>25</v>
      </c>
      <c r="C222" s="10">
        <v>1380</v>
      </c>
      <c r="D222" s="10">
        <v>1380</v>
      </c>
      <c r="E222" s="10"/>
      <c r="F222" s="10">
        <f>D222+E222</f>
        <v>1380</v>
      </c>
      <c r="G222" s="10">
        <v>2190</v>
      </c>
      <c r="H222" s="10">
        <f>1850+308</f>
        <v>2158</v>
      </c>
      <c r="I222" s="10"/>
      <c r="J222" s="10">
        <f>H222+I222</f>
        <v>2158</v>
      </c>
      <c r="K222" s="10">
        <f>1850+308</f>
        <v>2158</v>
      </c>
      <c r="L222" s="10">
        <f>1850+308</f>
        <v>2158</v>
      </c>
      <c r="M222" s="10">
        <v>2170</v>
      </c>
      <c r="N222" s="10">
        <v>2170</v>
      </c>
      <c r="O222" s="10"/>
      <c r="P222" s="10">
        <f>N222+O222</f>
        <v>2170</v>
      </c>
      <c r="Q222" s="10">
        <f>P222-L222</f>
        <v>12</v>
      </c>
      <c r="R222" s="11">
        <f>Q222/L222</f>
        <v>0.005560704355885079</v>
      </c>
    </row>
    <row r="223" spans="2:18" ht="12.75">
      <c r="B223" s="8" t="s">
        <v>27</v>
      </c>
      <c r="C223" s="12">
        <f aca="true" t="shared" si="86" ref="C223:Q223">SUM(C222:C222)</f>
        <v>1380</v>
      </c>
      <c r="D223" s="12">
        <f t="shared" si="86"/>
        <v>1380</v>
      </c>
      <c r="E223" s="12">
        <f t="shared" si="86"/>
        <v>0</v>
      </c>
      <c r="F223" s="12">
        <f t="shared" si="86"/>
        <v>1380</v>
      </c>
      <c r="G223" s="12">
        <f t="shared" si="86"/>
        <v>2190</v>
      </c>
      <c r="H223" s="12">
        <f t="shared" si="86"/>
        <v>2158</v>
      </c>
      <c r="I223" s="12">
        <f t="shared" si="86"/>
        <v>0</v>
      </c>
      <c r="J223" s="12">
        <f t="shared" si="86"/>
        <v>2158</v>
      </c>
      <c r="K223" s="13">
        <f t="shared" si="86"/>
        <v>2158</v>
      </c>
      <c r="L223" s="13">
        <f t="shared" si="86"/>
        <v>2158</v>
      </c>
      <c r="M223" s="13">
        <f t="shared" si="86"/>
        <v>2170</v>
      </c>
      <c r="N223" s="13">
        <f t="shared" si="86"/>
        <v>2170</v>
      </c>
      <c r="O223" s="13">
        <f t="shared" si="86"/>
        <v>0</v>
      </c>
      <c r="P223" s="13">
        <f t="shared" si="86"/>
        <v>2170</v>
      </c>
      <c r="Q223" s="13">
        <f t="shared" si="86"/>
        <v>12</v>
      </c>
      <c r="R223" s="14">
        <f>Q223/L223</f>
        <v>0.005560704355885079</v>
      </c>
    </row>
    <row r="224" spans="3:18" ht="12.75" hidden="1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5"/>
    </row>
    <row r="225" spans="2:18" s="16" customFormat="1" ht="12.75">
      <c r="B225" s="17" t="s">
        <v>178</v>
      </c>
      <c r="C225" s="18">
        <f aca="true" t="shared" si="87" ref="C225:Q225">SUM(C223+C220+C217)</f>
        <v>53709</v>
      </c>
      <c r="D225" s="18">
        <f t="shared" si="87"/>
        <v>52416</v>
      </c>
      <c r="E225" s="18">
        <f t="shared" si="87"/>
        <v>0</v>
      </c>
      <c r="F225" s="18">
        <f t="shared" si="87"/>
        <v>52416</v>
      </c>
      <c r="G225" s="18">
        <f t="shared" si="87"/>
        <v>57476</v>
      </c>
      <c r="H225" s="18">
        <f t="shared" si="87"/>
        <v>54444</v>
      </c>
      <c r="I225" s="18">
        <f t="shared" si="87"/>
        <v>0</v>
      </c>
      <c r="J225" s="18">
        <f t="shared" si="87"/>
        <v>54444</v>
      </c>
      <c r="K225" s="18">
        <f t="shared" si="87"/>
        <v>57247</v>
      </c>
      <c r="L225" s="18">
        <f t="shared" si="87"/>
        <v>45475</v>
      </c>
      <c r="M225" s="18">
        <f>SUM(M223+M220+M217)</f>
        <v>58559</v>
      </c>
      <c r="N225" s="18">
        <f>SUM(N223+N220+N217)</f>
        <v>46787</v>
      </c>
      <c r="O225" s="18">
        <f>SUM(O223+O220+O217)</f>
        <v>0</v>
      </c>
      <c r="P225" s="18">
        <f>SUM(P223+P220+P217)</f>
        <v>46787</v>
      </c>
      <c r="Q225" s="18">
        <f t="shared" si="87"/>
        <v>1312</v>
      </c>
      <c r="R225" s="19">
        <f>Q225/L225</f>
        <v>0.02885101704233095</v>
      </c>
    </row>
    <row r="226" spans="3:17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9"/>
    </row>
    <row r="227" spans="3:16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8" ht="12.75">
      <c r="B228" s="8" t="s">
        <v>179</v>
      </c>
      <c r="C228" s="9"/>
      <c r="D228" s="9"/>
      <c r="E228" s="9"/>
      <c r="F228" s="9"/>
      <c r="G228" s="9"/>
      <c r="H228" s="9"/>
      <c r="I228" s="9"/>
      <c r="J228" s="9"/>
      <c r="K228" s="10"/>
      <c r="L228" s="10"/>
      <c r="M228" s="10"/>
      <c r="N228" s="10"/>
      <c r="O228" s="10"/>
      <c r="P228" s="10"/>
      <c r="Q228" s="28"/>
      <c r="R228" s="28"/>
    </row>
    <row r="229" spans="1:18" ht="12.75" hidden="1">
      <c r="A229" t="s">
        <v>180</v>
      </c>
      <c r="B229" t="s">
        <v>181</v>
      </c>
      <c r="C229" s="9">
        <v>93345</v>
      </c>
      <c r="D229" s="9">
        <v>93345</v>
      </c>
      <c r="E229" s="9"/>
      <c r="F229" s="10">
        <f aca="true" t="shared" si="88" ref="F229:F252">D229+E229</f>
        <v>93345</v>
      </c>
      <c r="G229" s="10">
        <v>102018</v>
      </c>
      <c r="H229" s="10">
        <v>100000</v>
      </c>
      <c r="I229" s="9"/>
      <c r="J229" s="10">
        <f aca="true" t="shared" si="89" ref="J229:J252">H229+I229</f>
        <v>100000</v>
      </c>
      <c r="K229" s="10">
        <v>100000</v>
      </c>
      <c r="L229" s="10">
        <v>125000</v>
      </c>
      <c r="M229" s="10">
        <v>125000</v>
      </c>
      <c r="N229" s="10">
        <v>125000</v>
      </c>
      <c r="O229" s="10"/>
      <c r="P229" s="10">
        <f aca="true" t="shared" si="90" ref="P229:P253">N229+O229</f>
        <v>125000</v>
      </c>
      <c r="Q229" s="10">
        <f aca="true" t="shared" si="91" ref="Q229:Q253">P229-L229</f>
        <v>0</v>
      </c>
      <c r="R229" s="11">
        <f aca="true" t="shared" si="92" ref="R229:R252">Q229/L229</f>
        <v>0</v>
      </c>
    </row>
    <row r="230" spans="1:18" ht="12.75" hidden="1">
      <c r="A230" t="s">
        <v>182</v>
      </c>
      <c r="B230" t="s">
        <v>183</v>
      </c>
      <c r="C230" s="9">
        <v>87031.14</v>
      </c>
      <c r="D230" s="9">
        <v>87031.14</v>
      </c>
      <c r="E230" s="9"/>
      <c r="F230" s="10">
        <f t="shared" si="88"/>
        <v>87031.14</v>
      </c>
      <c r="G230" s="10">
        <v>87024</v>
      </c>
      <c r="H230" s="10"/>
      <c r="I230" s="9"/>
      <c r="J230" s="10">
        <f t="shared" si="89"/>
        <v>0</v>
      </c>
      <c r="K230" s="10">
        <v>93994</v>
      </c>
      <c r="L230" s="10">
        <v>0</v>
      </c>
      <c r="M230" s="10">
        <v>87135</v>
      </c>
      <c r="N230" s="10">
        <f>(73813*1.15)*0.5</f>
        <v>42442.475</v>
      </c>
      <c r="O230" s="10"/>
      <c r="P230" s="10">
        <f t="shared" si="90"/>
        <v>42442.475</v>
      </c>
      <c r="Q230" s="10">
        <f t="shared" si="91"/>
        <v>42442.475</v>
      </c>
      <c r="R230" s="11" t="e">
        <f t="shared" si="92"/>
        <v>#DIV/0!</v>
      </c>
    </row>
    <row r="231" spans="2:20" ht="12.75" hidden="1">
      <c r="B231" t="s">
        <v>184</v>
      </c>
      <c r="C231" s="9">
        <v>285948.33</v>
      </c>
      <c r="D231" s="9">
        <v>285948.33</v>
      </c>
      <c r="E231" s="9"/>
      <c r="F231" s="10">
        <f t="shared" si="88"/>
        <v>285948.33</v>
      </c>
      <c r="G231" s="10">
        <v>283568.76</v>
      </c>
      <c r="H231" s="10">
        <v>283568.76</v>
      </c>
      <c r="I231" s="9"/>
      <c r="J231" s="10">
        <f t="shared" si="89"/>
        <v>283568.76</v>
      </c>
      <c r="K231" s="10">
        <v>351570</v>
      </c>
      <c r="L231" s="10">
        <v>306131</v>
      </c>
      <c r="M231" s="10">
        <v>301343</v>
      </c>
      <c r="N231" s="10">
        <v>306143</v>
      </c>
      <c r="O231" s="10"/>
      <c r="P231" s="10">
        <f t="shared" si="90"/>
        <v>306143</v>
      </c>
      <c r="Q231" s="10">
        <f t="shared" si="91"/>
        <v>12</v>
      </c>
      <c r="R231" s="11">
        <f t="shared" si="92"/>
        <v>3.919890504391911E-05</v>
      </c>
      <c r="T231">
        <v>214968</v>
      </c>
    </row>
    <row r="232" spans="2:20" ht="12.75" hidden="1">
      <c r="B232" t="s">
        <v>185</v>
      </c>
      <c r="C232" s="9"/>
      <c r="D232" s="9"/>
      <c r="E232" s="9"/>
      <c r="F232" s="10">
        <f t="shared" si="88"/>
        <v>0</v>
      </c>
      <c r="G232" s="10"/>
      <c r="H232" s="10"/>
      <c r="I232" s="9"/>
      <c r="J232" s="10">
        <f t="shared" si="89"/>
        <v>0</v>
      </c>
      <c r="K232" s="10"/>
      <c r="L232" s="10"/>
      <c r="M232" s="10">
        <v>66809</v>
      </c>
      <c r="N232" s="10"/>
      <c r="O232" s="10"/>
      <c r="P232" s="10">
        <f t="shared" si="90"/>
        <v>0</v>
      </c>
      <c r="Q232" s="10">
        <f t="shared" si="91"/>
        <v>0</v>
      </c>
      <c r="R232" s="11" t="e">
        <f t="shared" si="92"/>
        <v>#DIV/0!</v>
      </c>
      <c r="T232">
        <v>68301</v>
      </c>
    </row>
    <row r="233" spans="2:18" ht="12.75" hidden="1">
      <c r="B233" t="s">
        <v>186</v>
      </c>
      <c r="C233" s="9"/>
      <c r="D233" s="9"/>
      <c r="E233" s="9"/>
      <c r="F233" s="10">
        <f t="shared" si="88"/>
        <v>0</v>
      </c>
      <c r="G233" s="10"/>
      <c r="H233" s="10"/>
      <c r="I233" s="9"/>
      <c r="J233" s="10">
        <f t="shared" si="89"/>
        <v>0</v>
      </c>
      <c r="K233" s="10"/>
      <c r="L233" s="10"/>
      <c r="M233" s="10">
        <v>0</v>
      </c>
      <c r="N233" s="10">
        <v>0</v>
      </c>
      <c r="O233" s="10"/>
      <c r="P233" s="10">
        <f t="shared" si="90"/>
        <v>0</v>
      </c>
      <c r="Q233" s="10">
        <f t="shared" si="91"/>
        <v>0</v>
      </c>
      <c r="R233" s="11" t="e">
        <f t="shared" si="92"/>
        <v>#DIV/0!</v>
      </c>
    </row>
    <row r="234" spans="2:18" ht="12.75" hidden="1">
      <c r="B234" t="s">
        <v>187</v>
      </c>
      <c r="C234" s="9"/>
      <c r="D234" s="9"/>
      <c r="E234" s="9"/>
      <c r="F234" s="10">
        <f t="shared" si="88"/>
        <v>0</v>
      </c>
      <c r="G234" s="10"/>
      <c r="H234" s="10"/>
      <c r="I234" s="9"/>
      <c r="J234" s="10">
        <f t="shared" si="89"/>
        <v>0</v>
      </c>
      <c r="K234" s="10"/>
      <c r="L234" s="10"/>
      <c r="M234" s="10">
        <v>0</v>
      </c>
      <c r="N234" s="10">
        <v>0</v>
      </c>
      <c r="O234" s="10"/>
      <c r="P234" s="10">
        <f t="shared" si="90"/>
        <v>0</v>
      </c>
      <c r="Q234" s="10">
        <f t="shared" si="91"/>
        <v>0</v>
      </c>
      <c r="R234" s="11" t="e">
        <f t="shared" si="92"/>
        <v>#DIV/0!</v>
      </c>
    </row>
    <row r="235" spans="2:18" ht="12.75" hidden="1">
      <c r="B235" t="s">
        <v>188</v>
      </c>
      <c r="C235" s="9">
        <v>604338</v>
      </c>
      <c r="D235" s="9">
        <v>604338</v>
      </c>
      <c r="E235" s="9"/>
      <c r="F235" s="10">
        <f t="shared" si="88"/>
        <v>604338</v>
      </c>
      <c r="G235" s="10">
        <v>604341.15</v>
      </c>
      <c r="H235" s="10">
        <f>606638-15000</f>
        <v>591638</v>
      </c>
      <c r="I235" s="9"/>
      <c r="J235" s="10">
        <f t="shared" si="89"/>
        <v>591638</v>
      </c>
      <c r="K235" s="10">
        <v>647755</v>
      </c>
      <c r="L235" s="10">
        <v>541565</v>
      </c>
      <c r="M235" s="10">
        <v>580944</v>
      </c>
      <c r="N235" s="10">
        <f>580944+8715</f>
        <v>589659</v>
      </c>
      <c r="O235" s="10"/>
      <c r="P235" s="10">
        <f t="shared" si="90"/>
        <v>589659</v>
      </c>
      <c r="Q235" s="10">
        <f t="shared" si="91"/>
        <v>48094</v>
      </c>
      <c r="R235" s="11">
        <f t="shared" si="92"/>
        <v>0.088805591203272</v>
      </c>
    </row>
    <row r="236" spans="1:18" ht="12.75" hidden="1">
      <c r="A236" t="s">
        <v>189</v>
      </c>
      <c r="B236" t="s">
        <v>190</v>
      </c>
      <c r="C236" s="9"/>
      <c r="D236" s="9"/>
      <c r="E236" s="9"/>
      <c r="F236" s="10">
        <f t="shared" si="88"/>
        <v>0</v>
      </c>
      <c r="G236" s="10"/>
      <c r="H236" s="10"/>
      <c r="I236" s="9"/>
      <c r="J236" s="10">
        <f t="shared" si="89"/>
        <v>0</v>
      </c>
      <c r="K236" s="10"/>
      <c r="L236" s="10"/>
      <c r="M236" s="10">
        <v>0</v>
      </c>
      <c r="N236" s="10">
        <v>0</v>
      </c>
      <c r="O236" s="10"/>
      <c r="P236" s="10">
        <f t="shared" si="90"/>
        <v>0</v>
      </c>
      <c r="Q236" s="10">
        <f t="shared" si="91"/>
        <v>0</v>
      </c>
      <c r="R236" s="11" t="e">
        <f t="shared" si="92"/>
        <v>#DIV/0!</v>
      </c>
    </row>
    <row r="237" spans="1:18" ht="12.75" hidden="1">
      <c r="A237" t="s">
        <v>191</v>
      </c>
      <c r="B237" t="s">
        <v>192</v>
      </c>
      <c r="C237" s="9">
        <v>216320</v>
      </c>
      <c r="D237" s="9">
        <f>216320-13000</f>
        <v>203320</v>
      </c>
      <c r="E237" s="9"/>
      <c r="F237" s="10">
        <f t="shared" si="88"/>
        <v>203320</v>
      </c>
      <c r="G237" s="10">
        <v>192780</v>
      </c>
      <c r="H237" s="10">
        <v>203320</v>
      </c>
      <c r="I237" s="9"/>
      <c r="J237" s="10">
        <f t="shared" si="89"/>
        <v>203320</v>
      </c>
      <c r="K237" s="10">
        <v>212500</v>
      </c>
      <c r="L237" s="10">
        <v>212500</v>
      </c>
      <c r="M237" s="10">
        <v>212500</v>
      </c>
      <c r="N237" s="10">
        <v>212500</v>
      </c>
      <c r="O237" s="10"/>
      <c r="P237" s="10">
        <f t="shared" si="90"/>
        <v>212500</v>
      </c>
      <c r="Q237" s="10">
        <f t="shared" si="91"/>
        <v>0</v>
      </c>
      <c r="R237" s="11">
        <f t="shared" si="92"/>
        <v>0</v>
      </c>
    </row>
    <row r="238" spans="1:21" ht="12.75" hidden="1">
      <c r="A238" t="s">
        <v>193</v>
      </c>
      <c r="B238" t="s">
        <v>194</v>
      </c>
      <c r="C238" s="9">
        <v>17000</v>
      </c>
      <c r="D238" s="9">
        <f>17000-9000</f>
        <v>8000</v>
      </c>
      <c r="E238" s="9"/>
      <c r="F238" s="10">
        <f t="shared" si="88"/>
        <v>8000</v>
      </c>
      <c r="G238" s="10">
        <v>8000</v>
      </c>
      <c r="H238" s="10">
        <v>8000</v>
      </c>
      <c r="I238" s="9"/>
      <c r="J238" s="10">
        <f t="shared" si="89"/>
        <v>8000</v>
      </c>
      <c r="K238" s="10">
        <v>25000</v>
      </c>
      <c r="L238" s="10">
        <v>25000</v>
      </c>
      <c r="M238" s="10">
        <v>25000</v>
      </c>
      <c r="N238" s="10">
        <v>25000</v>
      </c>
      <c r="O238" s="10"/>
      <c r="P238" s="10">
        <f t="shared" si="90"/>
        <v>25000</v>
      </c>
      <c r="Q238" s="10">
        <f t="shared" si="91"/>
        <v>0</v>
      </c>
      <c r="R238" s="11">
        <f t="shared" si="92"/>
        <v>0</v>
      </c>
      <c r="U238">
        <v>11910.6</v>
      </c>
    </row>
    <row r="239" spans="1:18" ht="12.75" hidden="1">
      <c r="A239" t="s">
        <v>195</v>
      </c>
      <c r="B239" t="s">
        <v>196</v>
      </c>
      <c r="C239" s="9">
        <v>44500</v>
      </c>
      <c r="D239" s="9">
        <v>45805</v>
      </c>
      <c r="E239" s="9"/>
      <c r="F239" s="10">
        <f t="shared" si="88"/>
        <v>45805</v>
      </c>
      <c r="G239" s="10">
        <v>45801</v>
      </c>
      <c r="H239" s="10">
        <v>21550</v>
      </c>
      <c r="I239" s="9"/>
      <c r="J239" s="10">
        <f t="shared" si="89"/>
        <v>21550</v>
      </c>
      <c r="K239" s="10">
        <v>21550</v>
      </c>
      <c r="L239" s="10">
        <v>21550</v>
      </c>
      <c r="M239" s="10">
        <v>50470</v>
      </c>
      <c r="N239" s="10">
        <v>50470</v>
      </c>
      <c r="O239" s="10">
        <v>-12600</v>
      </c>
      <c r="P239" s="10">
        <f t="shared" si="90"/>
        <v>37870</v>
      </c>
      <c r="Q239" s="10">
        <f t="shared" si="91"/>
        <v>16320</v>
      </c>
      <c r="R239" s="11">
        <f t="shared" si="92"/>
        <v>0.757308584686775</v>
      </c>
    </row>
    <row r="240" spans="2:18" ht="12.75" hidden="1">
      <c r="B240" t="s">
        <v>197</v>
      </c>
      <c r="C240" s="9">
        <v>8531.25</v>
      </c>
      <c r="D240" s="9">
        <v>8531.25</v>
      </c>
      <c r="E240" s="9"/>
      <c r="F240" s="10">
        <f t="shared" si="88"/>
        <v>8531.25</v>
      </c>
      <c r="G240" s="10">
        <v>8531.25</v>
      </c>
      <c r="H240" s="10">
        <v>8531.25</v>
      </c>
      <c r="I240" s="9"/>
      <c r="J240" s="10">
        <f t="shared" si="89"/>
        <v>8531.25</v>
      </c>
      <c r="K240" s="10">
        <v>8531</v>
      </c>
      <c r="L240" s="10">
        <v>8531</v>
      </c>
      <c r="M240" s="10">
        <v>8531</v>
      </c>
      <c r="N240" s="10">
        <v>8531</v>
      </c>
      <c r="O240" s="10"/>
      <c r="P240" s="10">
        <f t="shared" si="90"/>
        <v>8531</v>
      </c>
      <c r="Q240" s="10">
        <f t="shared" si="91"/>
        <v>0</v>
      </c>
      <c r="R240" s="11">
        <f t="shared" si="92"/>
        <v>0</v>
      </c>
    </row>
    <row r="241" spans="1:18" ht="12.75" hidden="1">
      <c r="A241" t="s">
        <v>198</v>
      </c>
      <c r="B241" t="s">
        <v>199</v>
      </c>
      <c r="C241" s="9">
        <v>190000</v>
      </c>
      <c r="D241" s="9">
        <f>190000+3588.28</f>
        <v>193588.28</v>
      </c>
      <c r="E241" s="9">
        <v>-5000</v>
      </c>
      <c r="F241" s="10">
        <f t="shared" si="88"/>
        <v>188588.28</v>
      </c>
      <c r="G241" s="10">
        <v>227117.73</v>
      </c>
      <c r="H241" s="10">
        <v>210000</v>
      </c>
      <c r="I241" s="9"/>
      <c r="J241" s="10">
        <f t="shared" si="89"/>
        <v>210000</v>
      </c>
      <c r="K241" s="10">
        <v>210000</v>
      </c>
      <c r="L241" s="10">
        <v>210000</v>
      </c>
      <c r="M241" s="10">
        <v>222218</v>
      </c>
      <c r="N241" s="10">
        <v>210000</v>
      </c>
      <c r="O241" s="10"/>
      <c r="P241" s="10">
        <f t="shared" si="90"/>
        <v>210000</v>
      </c>
      <c r="Q241" s="10">
        <f t="shared" si="91"/>
        <v>0</v>
      </c>
      <c r="R241" s="11">
        <f t="shared" si="92"/>
        <v>0</v>
      </c>
    </row>
    <row r="242" spans="1:18" ht="12.75" hidden="1">
      <c r="A242" t="s">
        <v>200</v>
      </c>
      <c r="B242" t="s">
        <v>201</v>
      </c>
      <c r="C242" s="9">
        <v>10000</v>
      </c>
      <c r="D242" s="9">
        <f>10000-2000</f>
        <v>8000</v>
      </c>
      <c r="E242" s="9"/>
      <c r="F242" s="10">
        <f t="shared" si="88"/>
        <v>8000</v>
      </c>
      <c r="G242" s="10">
        <v>8000</v>
      </c>
      <c r="H242" s="10">
        <v>8000</v>
      </c>
      <c r="I242" s="9"/>
      <c r="J242" s="10">
        <f t="shared" si="89"/>
        <v>8000</v>
      </c>
      <c r="K242" s="10">
        <v>10000</v>
      </c>
      <c r="L242" s="10">
        <v>10000</v>
      </c>
      <c r="M242" s="10">
        <v>10000</v>
      </c>
      <c r="N242" s="10">
        <v>10000</v>
      </c>
      <c r="O242" s="10"/>
      <c r="P242" s="10">
        <f t="shared" si="90"/>
        <v>10000</v>
      </c>
      <c r="Q242" s="10">
        <f t="shared" si="91"/>
        <v>0</v>
      </c>
      <c r="R242" s="11">
        <f t="shared" si="92"/>
        <v>0</v>
      </c>
    </row>
    <row r="243" spans="1:18" ht="12.75" hidden="1">
      <c r="A243" t="s">
        <v>202</v>
      </c>
      <c r="B243" t="s">
        <v>203</v>
      </c>
      <c r="C243" s="9">
        <v>12600</v>
      </c>
      <c r="D243" s="9">
        <v>12600</v>
      </c>
      <c r="E243" s="9"/>
      <c r="F243" s="10">
        <f t="shared" si="88"/>
        <v>12600</v>
      </c>
      <c r="G243" s="10">
        <v>12600</v>
      </c>
      <c r="H243" s="10">
        <v>12600</v>
      </c>
      <c r="I243" s="9"/>
      <c r="J243" s="10">
        <f t="shared" si="89"/>
        <v>12600</v>
      </c>
      <c r="K243" s="10">
        <v>12600</v>
      </c>
      <c r="L243" s="10">
        <v>20000</v>
      </c>
      <c r="M243" s="10">
        <v>25239</v>
      </c>
      <c r="N243" s="10">
        <v>20000</v>
      </c>
      <c r="O243" s="10"/>
      <c r="P243" s="10">
        <f t="shared" si="90"/>
        <v>20000</v>
      </c>
      <c r="Q243" s="10">
        <f t="shared" si="91"/>
        <v>0</v>
      </c>
      <c r="R243" s="11">
        <f t="shared" si="92"/>
        <v>0</v>
      </c>
    </row>
    <row r="244" spans="1:18" ht="12.75" hidden="1">
      <c r="A244" t="s">
        <v>204</v>
      </c>
      <c r="B244" t="s">
        <v>205</v>
      </c>
      <c r="C244" s="9">
        <v>117000</v>
      </c>
      <c r="D244" s="9">
        <v>117000</v>
      </c>
      <c r="E244" s="9"/>
      <c r="F244" s="10">
        <f t="shared" si="88"/>
        <v>117000</v>
      </c>
      <c r="G244" s="10">
        <v>86402.62</v>
      </c>
      <c r="H244" s="10">
        <v>85000</v>
      </c>
      <c r="I244" s="9"/>
      <c r="J244" s="10">
        <f t="shared" si="89"/>
        <v>85000</v>
      </c>
      <c r="K244" s="10">
        <v>117960</v>
      </c>
      <c r="L244" s="10">
        <v>65528</v>
      </c>
      <c r="M244" s="10">
        <v>124861</v>
      </c>
      <c r="N244" s="10">
        <v>124861</v>
      </c>
      <c r="O244" s="10"/>
      <c r="P244" s="10">
        <f t="shared" si="90"/>
        <v>124861</v>
      </c>
      <c r="Q244" s="10">
        <f t="shared" si="91"/>
        <v>59333</v>
      </c>
      <c r="R244" s="11">
        <f t="shared" si="92"/>
        <v>0.9054602612623611</v>
      </c>
    </row>
    <row r="245" spans="1:18" ht="12.75" hidden="1">
      <c r="A245" t="s">
        <v>206</v>
      </c>
      <c r="B245" t="s">
        <v>207</v>
      </c>
      <c r="C245" s="9">
        <v>30000</v>
      </c>
      <c r="D245" s="9">
        <f>30000-5000</f>
        <v>25000</v>
      </c>
      <c r="E245" s="9"/>
      <c r="F245" s="10">
        <f t="shared" si="88"/>
        <v>25000</v>
      </c>
      <c r="G245" s="10">
        <v>25000</v>
      </c>
      <c r="H245" s="10">
        <v>25000</v>
      </c>
      <c r="I245" s="9"/>
      <c r="J245" s="10">
        <f t="shared" si="89"/>
        <v>25000</v>
      </c>
      <c r="K245" s="10">
        <v>25000</v>
      </c>
      <c r="L245" s="10">
        <v>25000</v>
      </c>
      <c r="M245" s="10">
        <v>35433</v>
      </c>
      <c r="N245" s="10">
        <v>25000</v>
      </c>
      <c r="O245" s="10"/>
      <c r="P245" s="10">
        <f t="shared" si="90"/>
        <v>25000</v>
      </c>
      <c r="Q245" s="10">
        <f t="shared" si="91"/>
        <v>0</v>
      </c>
      <c r="R245" s="11">
        <f t="shared" si="92"/>
        <v>0</v>
      </c>
    </row>
    <row r="246" spans="1:18" ht="12.75" hidden="1">
      <c r="A246" t="s">
        <v>208</v>
      </c>
      <c r="B246" t="s">
        <v>209</v>
      </c>
      <c r="C246" s="9">
        <v>19000</v>
      </c>
      <c r="D246" s="9">
        <v>19000</v>
      </c>
      <c r="E246" s="9"/>
      <c r="F246" s="10">
        <f t="shared" si="88"/>
        <v>19000</v>
      </c>
      <c r="G246" s="10">
        <v>19000</v>
      </c>
      <c r="H246" s="10">
        <v>22800</v>
      </c>
      <c r="I246" s="9"/>
      <c r="J246" s="10">
        <f t="shared" si="89"/>
        <v>22800</v>
      </c>
      <c r="K246" s="10">
        <v>26400</v>
      </c>
      <c r="L246" s="10">
        <v>18600</v>
      </c>
      <c r="M246" s="10">
        <v>22176</v>
      </c>
      <c r="N246" s="10">
        <v>19800</v>
      </c>
      <c r="O246" s="10"/>
      <c r="P246" s="10">
        <f t="shared" si="90"/>
        <v>19800</v>
      </c>
      <c r="Q246" s="10">
        <f t="shared" si="91"/>
        <v>1200</v>
      </c>
      <c r="R246" s="11">
        <f t="shared" si="92"/>
        <v>0.06451612903225806</v>
      </c>
    </row>
    <row r="247" spans="1:18" ht="12.75" hidden="1">
      <c r="A247" t="s">
        <v>210</v>
      </c>
      <c r="B247" t="s">
        <v>211</v>
      </c>
      <c r="C247" s="9">
        <v>59288</v>
      </c>
      <c r="D247" s="9">
        <v>59288</v>
      </c>
      <c r="E247" s="9"/>
      <c r="F247" s="10">
        <f t="shared" si="88"/>
        <v>59288</v>
      </c>
      <c r="G247" s="10">
        <v>60810.49</v>
      </c>
      <c r="H247" s="10">
        <v>60810.49</v>
      </c>
      <c r="I247" s="9"/>
      <c r="J247" s="10">
        <f t="shared" si="89"/>
        <v>60810.49</v>
      </c>
      <c r="K247" s="10">
        <v>63000</v>
      </c>
      <c r="L247" s="10">
        <v>55500</v>
      </c>
      <c r="M247" s="10">
        <v>62333</v>
      </c>
      <c r="N247" s="10">
        <v>61253</v>
      </c>
      <c r="O247" s="10"/>
      <c r="P247" s="10">
        <f t="shared" si="90"/>
        <v>61253</v>
      </c>
      <c r="Q247" s="10">
        <f t="shared" si="91"/>
        <v>5753</v>
      </c>
      <c r="R247" s="11">
        <f t="shared" si="92"/>
        <v>0.10365765765765765</v>
      </c>
    </row>
    <row r="248" spans="1:18" ht="12.75" hidden="1">
      <c r="A248" t="s">
        <v>212</v>
      </c>
      <c r="B248" t="s">
        <v>213</v>
      </c>
      <c r="C248" s="9">
        <v>28000</v>
      </c>
      <c r="D248" s="9">
        <v>28000</v>
      </c>
      <c r="E248" s="9"/>
      <c r="F248" s="10">
        <f t="shared" si="88"/>
        <v>28000</v>
      </c>
      <c r="G248" s="10">
        <v>22800</v>
      </c>
      <c r="H248" s="10">
        <v>27400</v>
      </c>
      <c r="I248" s="9"/>
      <c r="J248" s="10">
        <f t="shared" si="89"/>
        <v>27400</v>
      </c>
      <c r="K248" s="10">
        <v>32100</v>
      </c>
      <c r="L248" s="10">
        <v>27000</v>
      </c>
      <c r="M248" s="10">
        <v>28100</v>
      </c>
      <c r="N248" s="10">
        <v>28100</v>
      </c>
      <c r="O248" s="10"/>
      <c r="P248" s="10">
        <f t="shared" si="90"/>
        <v>28100</v>
      </c>
      <c r="Q248" s="10">
        <f t="shared" si="91"/>
        <v>1100</v>
      </c>
      <c r="R248" s="11">
        <f t="shared" si="92"/>
        <v>0.040740740740740744</v>
      </c>
    </row>
    <row r="249" spans="1:18" ht="12.75" hidden="1">
      <c r="A249" t="s">
        <v>214</v>
      </c>
      <c r="B249" t="s">
        <v>215</v>
      </c>
      <c r="C249" s="9">
        <v>25000</v>
      </c>
      <c r="D249" s="9">
        <v>25000</v>
      </c>
      <c r="E249" s="9"/>
      <c r="F249" s="10">
        <f t="shared" si="88"/>
        <v>25000</v>
      </c>
      <c r="G249" s="10">
        <v>25000</v>
      </c>
      <c r="H249" s="10">
        <v>25000</v>
      </c>
      <c r="I249" s="9"/>
      <c r="J249" s="10">
        <f t="shared" si="89"/>
        <v>25000</v>
      </c>
      <c r="K249" s="10">
        <v>25500</v>
      </c>
      <c r="L249" s="10">
        <v>25500</v>
      </c>
      <c r="M249" s="10">
        <v>20350</v>
      </c>
      <c r="N249" s="10">
        <v>20350</v>
      </c>
      <c r="O249" s="10"/>
      <c r="P249" s="10">
        <f t="shared" si="90"/>
        <v>20350</v>
      </c>
      <c r="Q249" s="10">
        <f t="shared" si="91"/>
        <v>-5150</v>
      </c>
      <c r="R249" s="11">
        <f t="shared" si="92"/>
        <v>-0.2019607843137255</v>
      </c>
    </row>
    <row r="250" spans="1:18" ht="12.75" hidden="1">
      <c r="A250" t="s">
        <v>216</v>
      </c>
      <c r="B250" t="s">
        <v>217</v>
      </c>
      <c r="C250" s="9"/>
      <c r="D250" s="9"/>
      <c r="E250" s="9"/>
      <c r="F250" s="10">
        <f t="shared" si="88"/>
        <v>0</v>
      </c>
      <c r="G250" s="10">
        <v>15000</v>
      </c>
      <c r="H250" s="10">
        <v>0</v>
      </c>
      <c r="I250" s="9"/>
      <c r="J250" s="10">
        <f t="shared" si="89"/>
        <v>0</v>
      </c>
      <c r="K250" s="10">
        <v>25000</v>
      </c>
      <c r="L250" s="10">
        <v>25000</v>
      </c>
      <c r="M250" s="10">
        <v>25000</v>
      </c>
      <c r="N250" s="10">
        <v>25000</v>
      </c>
      <c r="O250" s="10"/>
      <c r="P250" s="10">
        <f t="shared" si="90"/>
        <v>25000</v>
      </c>
      <c r="Q250" s="10">
        <f t="shared" si="91"/>
        <v>0</v>
      </c>
      <c r="R250" s="11">
        <f t="shared" si="92"/>
        <v>0</v>
      </c>
    </row>
    <row r="251" spans="1:18" ht="12.75" hidden="1">
      <c r="A251" t="s">
        <v>218</v>
      </c>
      <c r="B251" t="s">
        <v>219</v>
      </c>
      <c r="C251" s="9">
        <v>53000</v>
      </c>
      <c r="D251" s="9">
        <v>53000</v>
      </c>
      <c r="E251" s="9"/>
      <c r="F251" s="10">
        <f t="shared" si="88"/>
        <v>53000</v>
      </c>
      <c r="G251" s="10">
        <v>53000</v>
      </c>
      <c r="H251" s="10">
        <v>58000</v>
      </c>
      <c r="I251" s="9"/>
      <c r="J251" s="10">
        <f t="shared" si="89"/>
        <v>58000</v>
      </c>
      <c r="K251" s="10">
        <v>62640</v>
      </c>
      <c r="L251" s="10">
        <v>55000</v>
      </c>
      <c r="M251" s="10">
        <v>55000</v>
      </c>
      <c r="N251" s="10">
        <v>55000</v>
      </c>
      <c r="O251" s="10"/>
      <c r="P251" s="10">
        <f t="shared" si="90"/>
        <v>55000</v>
      </c>
      <c r="Q251" s="10">
        <f t="shared" si="91"/>
        <v>0</v>
      </c>
      <c r="R251" s="11">
        <f t="shared" si="92"/>
        <v>0</v>
      </c>
    </row>
    <row r="252" spans="1:18" ht="12.75" hidden="1">
      <c r="A252" t="s">
        <v>220</v>
      </c>
      <c r="B252" t="s">
        <v>221</v>
      </c>
      <c r="C252" s="9">
        <v>10000</v>
      </c>
      <c r="D252" s="9">
        <f>10000-1000</f>
        <v>9000</v>
      </c>
      <c r="E252" s="9"/>
      <c r="F252" s="10">
        <f t="shared" si="88"/>
        <v>9000</v>
      </c>
      <c r="G252" s="10">
        <v>9000</v>
      </c>
      <c r="H252" s="10">
        <v>9000</v>
      </c>
      <c r="I252" s="9"/>
      <c r="J252" s="10">
        <f t="shared" si="89"/>
        <v>9000</v>
      </c>
      <c r="K252" s="10">
        <v>25000</v>
      </c>
      <c r="L252" s="10">
        <v>15000</v>
      </c>
      <c r="M252" s="10">
        <v>15000</v>
      </c>
      <c r="N252" s="10">
        <v>15000</v>
      </c>
      <c r="O252" s="10"/>
      <c r="P252" s="10">
        <f t="shared" si="90"/>
        <v>15000</v>
      </c>
      <c r="Q252" s="10">
        <f t="shared" si="91"/>
        <v>0</v>
      </c>
      <c r="R252" s="11">
        <f t="shared" si="92"/>
        <v>0</v>
      </c>
    </row>
    <row r="253" spans="2:18" ht="12.75" hidden="1">
      <c r="B253" s="20" t="s">
        <v>222</v>
      </c>
      <c r="C253" s="9"/>
      <c r="D253" s="9"/>
      <c r="E253" s="9"/>
      <c r="F253" s="10"/>
      <c r="G253" s="10"/>
      <c r="H253" s="10"/>
      <c r="I253" s="9"/>
      <c r="J253" s="10"/>
      <c r="K253" s="10"/>
      <c r="L253" s="10"/>
      <c r="M253" s="10">
        <v>15000</v>
      </c>
      <c r="N253" s="10"/>
      <c r="O253" s="10"/>
      <c r="P253" s="10">
        <f t="shared" si="90"/>
        <v>0</v>
      </c>
      <c r="Q253" s="10">
        <f t="shared" si="91"/>
        <v>0</v>
      </c>
      <c r="R253" s="11" t="e">
        <f>Q253/L253</f>
        <v>#DIV/0!</v>
      </c>
    </row>
    <row r="254" spans="2:18" ht="12.75">
      <c r="B254" s="8" t="s">
        <v>20</v>
      </c>
      <c r="C254" s="12">
        <f aca="true" t="shared" si="93" ref="C254:J254">SUM(C229:C252)</f>
        <v>1910901.72</v>
      </c>
      <c r="D254" s="12">
        <f t="shared" si="93"/>
        <v>1885795</v>
      </c>
      <c r="E254" s="12">
        <f t="shared" si="93"/>
        <v>-5000</v>
      </c>
      <c r="F254" s="12">
        <f t="shared" si="93"/>
        <v>1880795</v>
      </c>
      <c r="G254" s="12">
        <f t="shared" si="93"/>
        <v>1895795.0000000002</v>
      </c>
      <c r="H254" s="12">
        <f t="shared" si="93"/>
        <v>1760218.5</v>
      </c>
      <c r="I254" s="12">
        <f t="shared" si="93"/>
        <v>0</v>
      </c>
      <c r="J254" s="12">
        <f t="shared" si="93"/>
        <v>1760218.5</v>
      </c>
      <c r="K254" s="13">
        <f aca="true" t="shared" si="94" ref="K254:Q254">SUM(K229:K253)</f>
        <v>2096100</v>
      </c>
      <c r="L254" s="13">
        <f t="shared" si="94"/>
        <v>1792405</v>
      </c>
      <c r="M254" s="13">
        <f t="shared" si="94"/>
        <v>2118442</v>
      </c>
      <c r="N254" s="13">
        <f t="shared" si="94"/>
        <v>1974109.475</v>
      </c>
      <c r="O254" s="13">
        <f t="shared" si="94"/>
        <v>-12600</v>
      </c>
      <c r="P254" s="13">
        <f t="shared" si="94"/>
        <v>1961509.475</v>
      </c>
      <c r="Q254" s="13">
        <f t="shared" si="94"/>
        <v>169104.475</v>
      </c>
      <c r="R254" s="14">
        <f>Q254/L254</f>
        <v>0.09434501410116576</v>
      </c>
    </row>
    <row r="255" spans="3:18" ht="12.75" hidden="1">
      <c r="C255" s="9"/>
      <c r="D255" s="9"/>
      <c r="E255" s="9"/>
      <c r="F255" s="9"/>
      <c r="G255" s="9"/>
      <c r="H255" s="9"/>
      <c r="I255" s="9"/>
      <c r="J255" s="9"/>
      <c r="K255" s="10"/>
      <c r="L255" s="10"/>
      <c r="M255" s="10"/>
      <c r="N255" s="10"/>
      <c r="O255" s="10"/>
      <c r="P255" s="10"/>
      <c r="Q255" s="10"/>
      <c r="R255" s="11"/>
    </row>
    <row r="256" spans="1:18" ht="12.75" hidden="1">
      <c r="A256" t="s">
        <v>223</v>
      </c>
      <c r="B256" t="s">
        <v>224</v>
      </c>
      <c r="C256" s="9">
        <v>16500</v>
      </c>
      <c r="D256" s="9">
        <v>16500</v>
      </c>
      <c r="E256" s="9"/>
      <c r="F256" s="10">
        <f aca="true" t="shared" si="95" ref="F256:F270">D256+E256</f>
        <v>16500</v>
      </c>
      <c r="G256" s="10">
        <v>16500</v>
      </c>
      <c r="H256" s="10">
        <v>16500</v>
      </c>
      <c r="I256" s="9"/>
      <c r="J256" s="10">
        <f aca="true" t="shared" si="96" ref="J256:J270">H256+I256</f>
        <v>16500</v>
      </c>
      <c r="K256" s="10">
        <v>16500</v>
      </c>
      <c r="L256" s="10">
        <v>16500</v>
      </c>
      <c r="M256" s="10">
        <v>16500</v>
      </c>
      <c r="N256" s="10">
        <v>16500</v>
      </c>
      <c r="O256" s="10"/>
      <c r="P256" s="10">
        <f aca="true" t="shared" si="97" ref="P256:P270">N256+O256</f>
        <v>16500</v>
      </c>
      <c r="Q256" s="10">
        <f aca="true" t="shared" si="98" ref="Q256:Q270">P256-L256</f>
        <v>0</v>
      </c>
      <c r="R256" s="11">
        <f aca="true" t="shared" si="99" ref="R256:R270">Q256/L256</f>
        <v>0</v>
      </c>
    </row>
    <row r="257" spans="1:18" ht="12.75" hidden="1">
      <c r="A257" t="s">
        <v>225</v>
      </c>
      <c r="B257" t="s">
        <v>226</v>
      </c>
      <c r="C257" s="9">
        <v>5000</v>
      </c>
      <c r="D257" s="9">
        <v>5000</v>
      </c>
      <c r="E257" s="9"/>
      <c r="F257" s="10">
        <f t="shared" si="95"/>
        <v>5000</v>
      </c>
      <c r="G257" s="10">
        <v>5000</v>
      </c>
      <c r="H257" s="10">
        <v>5000</v>
      </c>
      <c r="I257" s="9"/>
      <c r="J257" s="10">
        <f t="shared" si="96"/>
        <v>5000</v>
      </c>
      <c r="K257" s="10">
        <v>5500</v>
      </c>
      <c r="L257" s="10">
        <v>5500</v>
      </c>
      <c r="M257" s="10">
        <v>5500</v>
      </c>
      <c r="N257" s="10">
        <v>5500</v>
      </c>
      <c r="O257" s="10"/>
      <c r="P257" s="10">
        <f t="shared" si="97"/>
        <v>5500</v>
      </c>
      <c r="Q257" s="10">
        <f t="shared" si="98"/>
        <v>0</v>
      </c>
      <c r="R257" s="11">
        <f t="shared" si="99"/>
        <v>0</v>
      </c>
    </row>
    <row r="258" spans="2:18" ht="12.75" hidden="1">
      <c r="B258" t="s">
        <v>153</v>
      </c>
      <c r="C258" s="9">
        <v>1950</v>
      </c>
      <c r="D258" s="9">
        <v>1950</v>
      </c>
      <c r="E258" s="9"/>
      <c r="F258" s="10">
        <f t="shared" si="95"/>
        <v>1950</v>
      </c>
      <c r="G258" s="10">
        <v>1950</v>
      </c>
      <c r="H258" s="10">
        <v>1950</v>
      </c>
      <c r="I258" s="9"/>
      <c r="J258" s="10">
        <f t="shared" si="96"/>
        <v>1950</v>
      </c>
      <c r="K258" s="10">
        <v>2500</v>
      </c>
      <c r="L258" s="10">
        <v>2500</v>
      </c>
      <c r="M258" s="10">
        <f>54050-8000-15000</f>
        <v>31050</v>
      </c>
      <c r="N258" s="10">
        <v>12500</v>
      </c>
      <c r="O258" s="10"/>
      <c r="P258" s="10">
        <f t="shared" si="97"/>
        <v>12500</v>
      </c>
      <c r="Q258" s="10">
        <f t="shared" si="98"/>
        <v>10000</v>
      </c>
      <c r="R258" s="11">
        <f t="shared" si="99"/>
        <v>4</v>
      </c>
    </row>
    <row r="259" spans="1:18" ht="12.75" hidden="1">
      <c r="A259" t="s">
        <v>227</v>
      </c>
      <c r="B259" t="s">
        <v>228</v>
      </c>
      <c r="C259" s="9">
        <v>45000</v>
      </c>
      <c r="D259" s="9">
        <v>45000</v>
      </c>
      <c r="E259" s="9">
        <v>-3000</v>
      </c>
      <c r="F259" s="10">
        <f t="shared" si="95"/>
        <v>42000</v>
      </c>
      <c r="G259" s="10">
        <v>42000</v>
      </c>
      <c r="H259" s="10">
        <v>42000</v>
      </c>
      <c r="I259" s="9"/>
      <c r="J259" s="10">
        <f t="shared" si="96"/>
        <v>42000</v>
      </c>
      <c r="K259" s="10">
        <v>45000</v>
      </c>
      <c r="L259" s="10">
        <v>45000</v>
      </c>
      <c r="M259" s="10">
        <v>45000</v>
      </c>
      <c r="N259" s="10">
        <v>45000</v>
      </c>
      <c r="O259" s="10"/>
      <c r="P259" s="10">
        <f t="shared" si="97"/>
        <v>45000</v>
      </c>
      <c r="Q259" s="10">
        <f t="shared" si="98"/>
        <v>0</v>
      </c>
      <c r="R259" s="11">
        <f t="shared" si="99"/>
        <v>0</v>
      </c>
    </row>
    <row r="260" spans="1:18" ht="12.75" hidden="1">
      <c r="A260" t="s">
        <v>229</v>
      </c>
      <c r="B260" t="s">
        <v>230</v>
      </c>
      <c r="C260" s="9">
        <v>2000</v>
      </c>
      <c r="D260" s="9">
        <v>2000</v>
      </c>
      <c r="E260" s="9"/>
      <c r="F260" s="10">
        <f t="shared" si="95"/>
        <v>2000</v>
      </c>
      <c r="G260" s="10">
        <v>2000</v>
      </c>
      <c r="H260" s="10">
        <v>2000</v>
      </c>
      <c r="I260" s="9"/>
      <c r="J260" s="10">
        <f t="shared" si="96"/>
        <v>2000</v>
      </c>
      <c r="K260" s="10">
        <v>2500</v>
      </c>
      <c r="L260" s="10">
        <v>2500</v>
      </c>
      <c r="M260" s="10">
        <v>5000</v>
      </c>
      <c r="N260" s="10">
        <v>3000</v>
      </c>
      <c r="O260" s="10"/>
      <c r="P260" s="10">
        <f t="shared" si="97"/>
        <v>3000</v>
      </c>
      <c r="Q260" s="10">
        <f t="shared" si="98"/>
        <v>500</v>
      </c>
      <c r="R260" s="11">
        <f t="shared" si="99"/>
        <v>0.2</v>
      </c>
    </row>
    <row r="261" spans="2:19" ht="12.75" hidden="1">
      <c r="B261" t="s">
        <v>231</v>
      </c>
      <c r="C261" s="10">
        <v>16900</v>
      </c>
      <c r="D261" s="10">
        <v>16900</v>
      </c>
      <c r="E261" s="10"/>
      <c r="F261" s="10">
        <f t="shared" si="95"/>
        <v>16900</v>
      </c>
      <c r="G261" s="10">
        <v>16900</v>
      </c>
      <c r="H261" s="10">
        <v>16900</v>
      </c>
      <c r="I261" s="10"/>
      <c r="J261" s="10">
        <f t="shared" si="96"/>
        <v>16900</v>
      </c>
      <c r="K261" s="10">
        <v>16900</v>
      </c>
      <c r="L261" s="10">
        <v>16900</v>
      </c>
      <c r="M261" s="10">
        <v>16900</v>
      </c>
      <c r="N261" s="10">
        <v>16900</v>
      </c>
      <c r="O261" s="10"/>
      <c r="P261" s="10">
        <f t="shared" si="97"/>
        <v>16900</v>
      </c>
      <c r="Q261" s="10">
        <f t="shared" si="98"/>
        <v>0</v>
      </c>
      <c r="R261" s="11">
        <f t="shared" si="99"/>
        <v>0</v>
      </c>
      <c r="S261" s="10"/>
    </row>
    <row r="262" spans="1:18" ht="12.75" hidden="1">
      <c r="A262" t="s">
        <v>232</v>
      </c>
      <c r="B262" t="s">
        <v>233</v>
      </c>
      <c r="C262" s="10">
        <v>3000</v>
      </c>
      <c r="D262" s="10">
        <v>3000</v>
      </c>
      <c r="E262" s="10"/>
      <c r="F262" s="10">
        <f t="shared" si="95"/>
        <v>3000</v>
      </c>
      <c r="G262" s="10">
        <v>3000</v>
      </c>
      <c r="H262" s="10">
        <v>3000</v>
      </c>
      <c r="I262" s="10"/>
      <c r="J262" s="10">
        <f t="shared" si="96"/>
        <v>3000</v>
      </c>
      <c r="K262" s="10">
        <v>3000</v>
      </c>
      <c r="L262" s="10">
        <v>3000</v>
      </c>
      <c r="M262" s="10">
        <v>3000</v>
      </c>
      <c r="N262" s="10">
        <v>3000</v>
      </c>
      <c r="O262" s="10"/>
      <c r="P262" s="10">
        <f t="shared" si="97"/>
        <v>3000</v>
      </c>
      <c r="Q262" s="10">
        <f t="shared" si="98"/>
        <v>0</v>
      </c>
      <c r="R262" s="11">
        <f t="shared" si="99"/>
        <v>0</v>
      </c>
    </row>
    <row r="263" spans="1:18" ht="12.75" hidden="1">
      <c r="A263" t="s">
        <v>234</v>
      </c>
      <c r="B263" t="s">
        <v>235</v>
      </c>
      <c r="C263" s="9">
        <v>5000</v>
      </c>
      <c r="D263" s="9">
        <v>5000</v>
      </c>
      <c r="E263" s="9"/>
      <c r="F263" s="10">
        <f t="shared" si="95"/>
        <v>5000</v>
      </c>
      <c r="G263" s="10">
        <v>5000</v>
      </c>
      <c r="H263" s="10">
        <v>5000</v>
      </c>
      <c r="I263" s="9"/>
      <c r="J263" s="10">
        <f t="shared" si="96"/>
        <v>5000</v>
      </c>
      <c r="K263" s="10">
        <v>7500</v>
      </c>
      <c r="L263" s="10">
        <v>7500</v>
      </c>
      <c r="M263" s="10">
        <v>19850</v>
      </c>
      <c r="N263" s="10">
        <v>19850</v>
      </c>
      <c r="O263" s="10"/>
      <c r="P263" s="10">
        <f t="shared" si="97"/>
        <v>19850</v>
      </c>
      <c r="Q263" s="10">
        <f t="shared" si="98"/>
        <v>12350</v>
      </c>
      <c r="R263" s="11">
        <f t="shared" si="99"/>
        <v>1.6466666666666667</v>
      </c>
    </row>
    <row r="264" spans="1:18" ht="12.75" hidden="1">
      <c r="A264" t="s">
        <v>236</v>
      </c>
      <c r="B264" t="s">
        <v>237</v>
      </c>
      <c r="C264" s="9">
        <v>1500</v>
      </c>
      <c r="D264" s="9">
        <v>1500</v>
      </c>
      <c r="E264" s="9"/>
      <c r="F264" s="10">
        <f t="shared" si="95"/>
        <v>1500</v>
      </c>
      <c r="G264" s="10">
        <v>1500</v>
      </c>
      <c r="H264" s="10">
        <v>1500</v>
      </c>
      <c r="I264" s="9"/>
      <c r="J264" s="10">
        <f t="shared" si="96"/>
        <v>1500</v>
      </c>
      <c r="K264" s="10">
        <v>1500</v>
      </c>
      <c r="L264" s="10">
        <v>1500</v>
      </c>
      <c r="M264" s="10">
        <v>2000</v>
      </c>
      <c r="N264" s="10">
        <v>2000</v>
      </c>
      <c r="O264" s="10"/>
      <c r="P264" s="10">
        <f t="shared" si="97"/>
        <v>2000</v>
      </c>
      <c r="Q264" s="10">
        <f t="shared" si="98"/>
        <v>500</v>
      </c>
      <c r="R264" s="11">
        <f t="shared" si="99"/>
        <v>0.3333333333333333</v>
      </c>
    </row>
    <row r="265" spans="1:18" ht="12.75" hidden="1">
      <c r="A265" t="s">
        <v>238</v>
      </c>
      <c r="B265" t="s">
        <v>239</v>
      </c>
      <c r="C265" s="9">
        <v>9150</v>
      </c>
      <c r="D265" s="9">
        <v>9150</v>
      </c>
      <c r="E265" s="9"/>
      <c r="F265" s="10">
        <f t="shared" si="95"/>
        <v>9150</v>
      </c>
      <c r="G265" s="10">
        <v>9150</v>
      </c>
      <c r="H265" s="10">
        <v>9150</v>
      </c>
      <c r="I265" s="9"/>
      <c r="J265" s="10">
        <f t="shared" si="96"/>
        <v>9150</v>
      </c>
      <c r="K265" s="10">
        <v>9150</v>
      </c>
      <c r="L265" s="10">
        <v>9150</v>
      </c>
      <c r="M265" s="10">
        <v>9150</v>
      </c>
      <c r="N265" s="10">
        <v>9150</v>
      </c>
      <c r="O265" s="10"/>
      <c r="P265" s="10">
        <f t="shared" si="97"/>
        <v>9150</v>
      </c>
      <c r="Q265" s="10">
        <f t="shared" si="98"/>
        <v>0</v>
      </c>
      <c r="R265" s="11">
        <f t="shared" si="99"/>
        <v>0</v>
      </c>
    </row>
    <row r="266" spans="1:18" ht="12.75" hidden="1">
      <c r="A266" t="s">
        <v>240</v>
      </c>
      <c r="B266" t="s">
        <v>241</v>
      </c>
      <c r="C266" s="9">
        <v>500</v>
      </c>
      <c r="D266" s="9">
        <v>500</v>
      </c>
      <c r="E266" s="9"/>
      <c r="F266" s="10">
        <f t="shared" si="95"/>
        <v>500</v>
      </c>
      <c r="G266" s="10">
        <v>500</v>
      </c>
      <c r="H266" s="10">
        <v>500</v>
      </c>
      <c r="I266" s="9"/>
      <c r="J266" s="10">
        <f t="shared" si="96"/>
        <v>500</v>
      </c>
      <c r="K266" s="10">
        <v>500</v>
      </c>
      <c r="L266" s="10">
        <v>500</v>
      </c>
      <c r="M266" s="10">
        <v>1500</v>
      </c>
      <c r="N266" s="10">
        <v>1500</v>
      </c>
      <c r="O266" s="10"/>
      <c r="P266" s="10">
        <f t="shared" si="97"/>
        <v>1500</v>
      </c>
      <c r="Q266" s="10">
        <f t="shared" si="98"/>
        <v>1000</v>
      </c>
      <c r="R266" s="11">
        <f t="shared" si="99"/>
        <v>2</v>
      </c>
    </row>
    <row r="267" spans="1:18" ht="12.75" hidden="1">
      <c r="A267" t="s">
        <v>242</v>
      </c>
      <c r="B267" t="s">
        <v>243</v>
      </c>
      <c r="C267" s="10">
        <v>500</v>
      </c>
      <c r="D267" s="10">
        <v>500</v>
      </c>
      <c r="E267" s="10"/>
      <c r="F267" s="10">
        <f t="shared" si="95"/>
        <v>500</v>
      </c>
      <c r="G267" s="10">
        <v>500</v>
      </c>
      <c r="H267" s="10">
        <v>500</v>
      </c>
      <c r="I267" s="10"/>
      <c r="J267" s="10">
        <f t="shared" si="96"/>
        <v>500</v>
      </c>
      <c r="K267" s="10">
        <v>500</v>
      </c>
      <c r="L267" s="10">
        <v>500</v>
      </c>
      <c r="M267" s="10">
        <v>500</v>
      </c>
      <c r="N267" s="10">
        <v>500</v>
      </c>
      <c r="O267" s="10"/>
      <c r="P267" s="10">
        <f t="shared" si="97"/>
        <v>500</v>
      </c>
      <c r="Q267" s="10">
        <f t="shared" si="98"/>
        <v>0</v>
      </c>
      <c r="R267" s="11">
        <f t="shared" si="99"/>
        <v>0</v>
      </c>
    </row>
    <row r="268" spans="2:18" ht="12.75" hidden="1">
      <c r="B268" t="s">
        <v>160</v>
      </c>
      <c r="C268" s="9">
        <v>1750</v>
      </c>
      <c r="D268" s="9">
        <v>1750</v>
      </c>
      <c r="E268" s="9"/>
      <c r="F268" s="10">
        <f t="shared" si="95"/>
        <v>1750</v>
      </c>
      <c r="G268" s="10">
        <v>1750</v>
      </c>
      <c r="H268" s="10">
        <v>1750</v>
      </c>
      <c r="I268" s="9"/>
      <c r="J268" s="10">
        <f t="shared" si="96"/>
        <v>1750</v>
      </c>
      <c r="K268" s="10">
        <v>2000</v>
      </c>
      <c r="L268" s="10">
        <v>2000</v>
      </c>
      <c r="M268" s="10">
        <v>2000</v>
      </c>
      <c r="N268" s="10">
        <v>2000</v>
      </c>
      <c r="O268" s="10"/>
      <c r="P268" s="10">
        <f t="shared" si="97"/>
        <v>2000</v>
      </c>
      <c r="Q268" s="10">
        <f t="shared" si="98"/>
        <v>0</v>
      </c>
      <c r="R268" s="11">
        <f t="shared" si="99"/>
        <v>0</v>
      </c>
    </row>
    <row r="269" spans="2:18" ht="12.75" hidden="1">
      <c r="B269" t="s">
        <v>50</v>
      </c>
      <c r="C269" s="9">
        <v>13000</v>
      </c>
      <c r="D269" s="9">
        <v>13000</v>
      </c>
      <c r="E269" s="9"/>
      <c r="F269" s="10">
        <f t="shared" si="95"/>
        <v>13000</v>
      </c>
      <c r="G269" s="10">
        <v>13000</v>
      </c>
      <c r="H269" s="10">
        <v>13000</v>
      </c>
      <c r="I269" s="9"/>
      <c r="J269" s="10">
        <f t="shared" si="96"/>
        <v>13000</v>
      </c>
      <c r="K269" s="10">
        <v>13000</v>
      </c>
      <c r="L269" s="10">
        <v>13000</v>
      </c>
      <c r="M269" s="10">
        <v>13000</v>
      </c>
      <c r="N269" s="10">
        <v>13000</v>
      </c>
      <c r="O269" s="10"/>
      <c r="P269" s="10">
        <f t="shared" si="97"/>
        <v>13000</v>
      </c>
      <c r="Q269" s="10">
        <f t="shared" si="98"/>
        <v>0</v>
      </c>
      <c r="R269" s="11">
        <f t="shared" si="99"/>
        <v>0</v>
      </c>
    </row>
    <row r="270" spans="1:18" ht="12.75" hidden="1">
      <c r="A270" t="s">
        <v>244</v>
      </c>
      <c r="B270" t="s">
        <v>60</v>
      </c>
      <c r="C270" s="9"/>
      <c r="D270" s="9"/>
      <c r="E270" s="9"/>
      <c r="F270" s="10">
        <f t="shared" si="95"/>
        <v>0</v>
      </c>
      <c r="G270" s="10"/>
      <c r="H270" s="10"/>
      <c r="I270" s="9"/>
      <c r="J270" s="10">
        <f t="shared" si="96"/>
        <v>0</v>
      </c>
      <c r="K270" s="10"/>
      <c r="L270" s="10"/>
      <c r="M270" s="10"/>
      <c r="N270" s="10"/>
      <c r="O270" s="10"/>
      <c r="P270" s="10">
        <f t="shared" si="97"/>
        <v>0</v>
      </c>
      <c r="Q270" s="10">
        <f t="shared" si="98"/>
        <v>0</v>
      </c>
      <c r="R270" s="11" t="e">
        <f t="shared" si="99"/>
        <v>#DIV/0!</v>
      </c>
    </row>
    <row r="271" spans="2:18" ht="12.75">
      <c r="B271" s="8" t="s">
        <v>23</v>
      </c>
      <c r="C271" s="12">
        <f aca="true" t="shared" si="100" ref="C271:Q271">SUM(C256:C270)</f>
        <v>121750</v>
      </c>
      <c r="D271" s="12">
        <f t="shared" si="100"/>
        <v>121750</v>
      </c>
      <c r="E271" s="12">
        <f t="shared" si="100"/>
        <v>-3000</v>
      </c>
      <c r="F271" s="12">
        <f t="shared" si="100"/>
        <v>118750</v>
      </c>
      <c r="G271" s="12">
        <f t="shared" si="100"/>
        <v>118750</v>
      </c>
      <c r="H271" s="12">
        <f t="shared" si="100"/>
        <v>118750</v>
      </c>
      <c r="I271" s="12">
        <f t="shared" si="100"/>
        <v>0</v>
      </c>
      <c r="J271" s="12">
        <f t="shared" si="100"/>
        <v>118750</v>
      </c>
      <c r="K271" s="13">
        <f t="shared" si="100"/>
        <v>126050</v>
      </c>
      <c r="L271" s="13">
        <f t="shared" si="100"/>
        <v>126050</v>
      </c>
      <c r="M271" s="13">
        <f>SUM(M256:M270)</f>
        <v>170950</v>
      </c>
      <c r="N271" s="13">
        <f t="shared" si="100"/>
        <v>150400</v>
      </c>
      <c r="O271" s="13">
        <f t="shared" si="100"/>
        <v>0</v>
      </c>
      <c r="P271" s="13">
        <f t="shared" si="100"/>
        <v>150400</v>
      </c>
      <c r="Q271" s="13">
        <f t="shared" si="100"/>
        <v>24350</v>
      </c>
      <c r="R271" s="14">
        <f>Q271/L271</f>
        <v>0.1931773105910353</v>
      </c>
    </row>
    <row r="272" spans="3:18" ht="12.75" hidden="1">
      <c r="C272" s="9"/>
      <c r="D272" s="9"/>
      <c r="E272" s="9"/>
      <c r="F272" s="9"/>
      <c r="G272" s="9"/>
      <c r="H272" s="9"/>
      <c r="I272" s="9"/>
      <c r="J272" s="9"/>
      <c r="K272" s="10"/>
      <c r="L272" s="10"/>
      <c r="M272" s="10"/>
      <c r="N272" s="10"/>
      <c r="O272" s="10"/>
      <c r="P272" s="10"/>
      <c r="Q272" s="10"/>
      <c r="R272" s="11"/>
    </row>
    <row r="273" spans="1:18" ht="12.75" hidden="1">
      <c r="A273" t="s">
        <v>245</v>
      </c>
      <c r="B273" t="s">
        <v>52</v>
      </c>
      <c r="C273" s="9">
        <v>5000</v>
      </c>
      <c r="D273" s="9">
        <v>5000</v>
      </c>
      <c r="E273" s="9"/>
      <c r="F273" s="10">
        <f>D273+E273</f>
        <v>5000</v>
      </c>
      <c r="G273" s="10">
        <v>5000</v>
      </c>
      <c r="H273" s="10">
        <v>5000</v>
      </c>
      <c r="I273" s="9"/>
      <c r="J273" s="10">
        <f>H273+I273</f>
        <v>5000</v>
      </c>
      <c r="K273" s="10">
        <v>5000</v>
      </c>
      <c r="L273" s="10">
        <v>5000</v>
      </c>
      <c r="M273" s="10">
        <v>5000</v>
      </c>
      <c r="N273" s="10">
        <v>5000</v>
      </c>
      <c r="O273" s="10"/>
      <c r="P273" s="10">
        <f>N273+O273</f>
        <v>5000</v>
      </c>
      <c r="Q273" s="10">
        <f>P273-L273</f>
        <v>0</v>
      </c>
      <c r="R273" s="11">
        <f>Q273/L273</f>
        <v>0</v>
      </c>
    </row>
    <row r="274" spans="1:18" ht="12.75" hidden="1">
      <c r="A274" t="s">
        <v>246</v>
      </c>
      <c r="B274" t="s">
        <v>247</v>
      </c>
      <c r="C274" s="9">
        <v>2500</v>
      </c>
      <c r="D274" s="9">
        <v>2500</v>
      </c>
      <c r="E274" s="9"/>
      <c r="F274" s="10">
        <f>D274+E274</f>
        <v>2500</v>
      </c>
      <c r="G274" s="10">
        <v>2500</v>
      </c>
      <c r="H274" s="10">
        <v>2500</v>
      </c>
      <c r="I274" s="9"/>
      <c r="J274" s="10">
        <f>H274+I274</f>
        <v>2500</v>
      </c>
      <c r="K274" s="10">
        <v>3000</v>
      </c>
      <c r="L274" s="10">
        <v>3000</v>
      </c>
      <c r="M274" s="10">
        <v>3000</v>
      </c>
      <c r="N274" s="10">
        <v>3000</v>
      </c>
      <c r="O274" s="10"/>
      <c r="P274" s="10">
        <f>N274+O274</f>
        <v>3000</v>
      </c>
      <c r="Q274" s="10">
        <f>P274-L274</f>
        <v>0</v>
      </c>
      <c r="R274" s="11">
        <f>Q274/L274</f>
        <v>0</v>
      </c>
    </row>
    <row r="275" spans="1:18" ht="12.75" hidden="1">
      <c r="A275" t="s">
        <v>248</v>
      </c>
      <c r="B275" t="s">
        <v>107</v>
      </c>
      <c r="C275" s="9">
        <v>44750</v>
      </c>
      <c r="D275" s="9">
        <v>44750</v>
      </c>
      <c r="E275" s="9">
        <v>-2000</v>
      </c>
      <c r="F275" s="10">
        <f>D275+E275</f>
        <v>42750</v>
      </c>
      <c r="G275" s="10">
        <v>42750</v>
      </c>
      <c r="H275" s="10">
        <v>50000</v>
      </c>
      <c r="I275" s="9"/>
      <c r="J275" s="10">
        <f>H275+I275</f>
        <v>50000</v>
      </c>
      <c r="K275" s="10">
        <v>55000</v>
      </c>
      <c r="L275" s="10">
        <v>55000</v>
      </c>
      <c r="M275" s="10">
        <v>55000</v>
      </c>
      <c r="N275" s="10">
        <v>55000</v>
      </c>
      <c r="O275" s="10"/>
      <c r="P275" s="10">
        <f>N275+O275</f>
        <v>55000</v>
      </c>
      <c r="Q275" s="10">
        <f>P275-L275</f>
        <v>0</v>
      </c>
      <c r="R275" s="11">
        <f>Q275/L275</f>
        <v>0</v>
      </c>
    </row>
    <row r="276" spans="1:18" ht="12.75" hidden="1">
      <c r="A276" t="s">
        <v>249</v>
      </c>
      <c r="B276" t="s">
        <v>62</v>
      </c>
      <c r="C276" s="24">
        <v>2000</v>
      </c>
      <c r="D276" s="10">
        <v>2000</v>
      </c>
      <c r="E276" s="10"/>
      <c r="F276" s="10">
        <f>D276+E276</f>
        <v>2000</v>
      </c>
      <c r="G276" s="10">
        <v>2000</v>
      </c>
      <c r="H276" s="10">
        <v>2000</v>
      </c>
      <c r="I276" s="10"/>
      <c r="J276" s="10">
        <f>H276+I276</f>
        <v>2000</v>
      </c>
      <c r="K276" s="10">
        <v>2500</v>
      </c>
      <c r="L276" s="10">
        <v>2500</v>
      </c>
      <c r="M276" s="10">
        <v>4500</v>
      </c>
      <c r="N276" s="10">
        <v>3500</v>
      </c>
      <c r="O276" s="10"/>
      <c r="P276" s="10">
        <f>N276+O276</f>
        <v>3500</v>
      </c>
      <c r="Q276" s="10">
        <f>P276-L276</f>
        <v>1000</v>
      </c>
      <c r="R276" s="11">
        <f>Q276/L276</f>
        <v>0.4</v>
      </c>
    </row>
    <row r="277" spans="2:18" ht="12.75">
      <c r="B277" s="8" t="s">
        <v>53</v>
      </c>
      <c r="C277" s="25">
        <f aca="true" t="shared" si="101" ref="C277:Q277">SUM(C273:C276)</f>
        <v>54250</v>
      </c>
      <c r="D277" s="12">
        <f t="shared" si="101"/>
        <v>54250</v>
      </c>
      <c r="E277" s="12">
        <f t="shared" si="101"/>
        <v>-2000</v>
      </c>
      <c r="F277" s="12">
        <f t="shared" si="101"/>
        <v>52250</v>
      </c>
      <c r="G277" s="12">
        <f t="shared" si="101"/>
        <v>52250</v>
      </c>
      <c r="H277" s="12">
        <f t="shared" si="101"/>
        <v>59500</v>
      </c>
      <c r="I277" s="12">
        <f t="shared" si="101"/>
        <v>0</v>
      </c>
      <c r="J277" s="12">
        <f t="shared" si="101"/>
        <v>59500</v>
      </c>
      <c r="K277" s="13">
        <f aca="true" t="shared" si="102" ref="K277:P277">SUM(K273:K276)</f>
        <v>65500</v>
      </c>
      <c r="L277" s="13">
        <f t="shared" si="102"/>
        <v>65500</v>
      </c>
      <c r="M277" s="13">
        <f t="shared" si="102"/>
        <v>67500</v>
      </c>
      <c r="N277" s="13">
        <f t="shared" si="102"/>
        <v>66500</v>
      </c>
      <c r="O277" s="13">
        <f t="shared" si="102"/>
        <v>0</v>
      </c>
      <c r="P277" s="13">
        <f t="shared" si="102"/>
        <v>66500</v>
      </c>
      <c r="Q277" s="13">
        <f t="shared" si="101"/>
        <v>1000</v>
      </c>
      <c r="R277" s="14">
        <f>Q277/L277</f>
        <v>0.015267175572519083</v>
      </c>
    </row>
    <row r="278" spans="3:18" ht="12.75" hidden="1">
      <c r="C278" s="9"/>
      <c r="D278" s="9"/>
      <c r="E278" s="9"/>
      <c r="F278" s="9"/>
      <c r="G278" s="9"/>
      <c r="H278" s="9"/>
      <c r="I278" s="9"/>
      <c r="J278" s="9"/>
      <c r="K278" s="10"/>
      <c r="L278" s="10"/>
      <c r="M278" s="10"/>
      <c r="N278" s="10"/>
      <c r="O278" s="10"/>
      <c r="P278" s="10"/>
      <c r="Q278" s="10"/>
      <c r="R278" s="11"/>
    </row>
    <row r="279" spans="1:18" ht="12.75" hidden="1">
      <c r="A279" t="s">
        <v>250</v>
      </c>
      <c r="B279" t="s">
        <v>25</v>
      </c>
      <c r="C279" s="10">
        <v>2000</v>
      </c>
      <c r="D279" s="10">
        <v>2000</v>
      </c>
      <c r="E279" s="10"/>
      <c r="F279" s="10">
        <f>D279+E279</f>
        <v>2000</v>
      </c>
      <c r="G279" s="10">
        <v>2000</v>
      </c>
      <c r="H279" s="10">
        <v>2000</v>
      </c>
      <c r="I279" s="10"/>
      <c r="J279" s="10">
        <f>H279+I279</f>
        <v>2000</v>
      </c>
      <c r="K279" s="10">
        <v>2000</v>
      </c>
      <c r="L279" s="10">
        <v>2000</v>
      </c>
      <c r="M279" s="10">
        <v>2000</v>
      </c>
      <c r="N279" s="10">
        <v>2000</v>
      </c>
      <c r="O279" s="10"/>
      <c r="P279" s="10">
        <f>N279+O279</f>
        <v>2000</v>
      </c>
      <c r="Q279" s="10">
        <f>P279-L279</f>
        <v>0</v>
      </c>
      <c r="R279" s="11">
        <f>Q279/L279</f>
        <v>0</v>
      </c>
    </row>
    <row r="280" spans="2:18" ht="12.75" hidden="1">
      <c r="B280" t="s">
        <v>55</v>
      </c>
      <c r="C280" s="10">
        <v>1000</v>
      </c>
      <c r="D280" s="10">
        <v>1000</v>
      </c>
      <c r="E280" s="10"/>
      <c r="F280" s="10">
        <f>D280+E280</f>
        <v>1000</v>
      </c>
      <c r="G280" s="10">
        <v>1000</v>
      </c>
      <c r="H280" s="10">
        <v>1000</v>
      </c>
      <c r="I280" s="10"/>
      <c r="J280" s="10">
        <f>H280+I280</f>
        <v>1000</v>
      </c>
      <c r="K280" s="10">
        <v>1500</v>
      </c>
      <c r="L280" s="10">
        <v>1500</v>
      </c>
      <c r="M280" s="10">
        <v>7460</v>
      </c>
      <c r="N280" s="10">
        <v>7460</v>
      </c>
      <c r="O280" s="10"/>
      <c r="P280" s="10">
        <f>N280+O280</f>
        <v>7460</v>
      </c>
      <c r="Q280" s="10">
        <f>P280-L280</f>
        <v>5960</v>
      </c>
      <c r="R280" s="11">
        <f>Q280/L280</f>
        <v>3.973333333333333</v>
      </c>
    </row>
    <row r="281" spans="2:18" ht="12.75" hidden="1">
      <c r="B281" t="s">
        <v>62</v>
      </c>
      <c r="C281" s="24">
        <v>0</v>
      </c>
      <c r="D281" s="24">
        <v>0</v>
      </c>
      <c r="E281" s="10"/>
      <c r="F281" s="10">
        <f>D281+E281</f>
        <v>0</v>
      </c>
      <c r="G281" s="10"/>
      <c r="H281" s="10"/>
      <c r="I281" s="10"/>
      <c r="J281" s="10">
        <f>H281+I281</f>
        <v>0</v>
      </c>
      <c r="K281" s="10"/>
      <c r="L281" s="10"/>
      <c r="M281" s="10"/>
      <c r="N281" s="10"/>
      <c r="O281" s="10"/>
      <c r="P281" s="10">
        <f>N281+O281</f>
        <v>0</v>
      </c>
      <c r="Q281" s="10">
        <f>P281-L281</f>
        <v>0</v>
      </c>
      <c r="R281" s="11" t="e">
        <f>Q281/L281</f>
        <v>#DIV/0!</v>
      </c>
    </row>
    <row r="282" spans="2:18" ht="12.75">
      <c r="B282" s="8" t="s">
        <v>27</v>
      </c>
      <c r="C282" s="25">
        <f aca="true" t="shared" si="103" ref="C282:Q282">SUM(C279:C281)</f>
        <v>3000</v>
      </c>
      <c r="D282" s="25">
        <f t="shared" si="103"/>
        <v>3000</v>
      </c>
      <c r="E282" s="12">
        <f t="shared" si="103"/>
        <v>0</v>
      </c>
      <c r="F282" s="12">
        <f t="shared" si="103"/>
        <v>3000</v>
      </c>
      <c r="G282" s="12">
        <f t="shared" si="103"/>
        <v>3000</v>
      </c>
      <c r="H282" s="12">
        <f t="shared" si="103"/>
        <v>3000</v>
      </c>
      <c r="I282" s="12">
        <f t="shared" si="103"/>
        <v>0</v>
      </c>
      <c r="J282" s="12">
        <f t="shared" si="103"/>
        <v>3000</v>
      </c>
      <c r="K282" s="13">
        <f aca="true" t="shared" si="104" ref="K282:P282">SUM(K279:K281)</f>
        <v>3500</v>
      </c>
      <c r="L282" s="13">
        <f t="shared" si="104"/>
        <v>3500</v>
      </c>
      <c r="M282" s="13">
        <f t="shared" si="104"/>
        <v>9460</v>
      </c>
      <c r="N282" s="13">
        <f t="shared" si="104"/>
        <v>9460</v>
      </c>
      <c r="O282" s="13">
        <f t="shared" si="104"/>
        <v>0</v>
      </c>
      <c r="P282" s="13">
        <f t="shared" si="104"/>
        <v>9460</v>
      </c>
      <c r="Q282" s="13">
        <f t="shared" si="103"/>
        <v>5960</v>
      </c>
      <c r="R282" s="14">
        <f>Q282/L282</f>
        <v>1.7028571428571428</v>
      </c>
    </row>
    <row r="283" spans="11:18" ht="12.75" hidden="1">
      <c r="K283" s="28"/>
      <c r="L283" s="28"/>
      <c r="M283" s="28"/>
      <c r="N283" s="28"/>
      <c r="O283" s="28"/>
      <c r="P283" s="28"/>
      <c r="Q283" s="10"/>
      <c r="R283" s="28"/>
    </row>
    <row r="284" spans="2:18" ht="12.75" hidden="1">
      <c r="B284" t="s">
        <v>251</v>
      </c>
      <c r="C284" s="10">
        <v>18439.59</v>
      </c>
      <c r="D284" s="10">
        <v>0</v>
      </c>
      <c r="E284" s="10"/>
      <c r="F284" s="10">
        <f>D284+E284</f>
        <v>0</v>
      </c>
      <c r="G284" s="10">
        <f>E284+F284</f>
        <v>0</v>
      </c>
      <c r="H284" s="10">
        <v>18440</v>
      </c>
      <c r="I284" s="10"/>
      <c r="J284" s="10">
        <f>H284+I284</f>
        <v>18440</v>
      </c>
      <c r="K284" s="10">
        <v>64000</v>
      </c>
      <c r="L284" s="10">
        <v>24000</v>
      </c>
      <c r="M284" s="10">
        <f>18231+24000+33400+12000+15000+12000</f>
        <v>114631</v>
      </c>
      <c r="N284" s="10">
        <v>35231</v>
      </c>
      <c r="O284" s="10"/>
      <c r="P284" s="10">
        <f>N284+O284</f>
        <v>35231</v>
      </c>
      <c r="Q284" s="10">
        <f>P284-L284</f>
        <v>11231</v>
      </c>
      <c r="R284" s="11">
        <f>Q284/L284</f>
        <v>0.4679583333333333</v>
      </c>
    </row>
    <row r="285" spans="2:18" ht="12.75">
      <c r="B285" s="8" t="s">
        <v>252</v>
      </c>
      <c r="C285" s="12">
        <f aca="true" t="shared" si="105" ref="C285:Q285">SUM(C284)</f>
        <v>18439.59</v>
      </c>
      <c r="D285" s="12">
        <f t="shared" si="105"/>
        <v>0</v>
      </c>
      <c r="E285" s="12">
        <f t="shared" si="105"/>
        <v>0</v>
      </c>
      <c r="F285" s="12">
        <f t="shared" si="105"/>
        <v>0</v>
      </c>
      <c r="G285" s="12">
        <f t="shared" si="105"/>
        <v>0</v>
      </c>
      <c r="H285" s="12">
        <f t="shared" si="105"/>
        <v>18440</v>
      </c>
      <c r="I285" s="12">
        <f t="shared" si="105"/>
        <v>0</v>
      </c>
      <c r="J285" s="12">
        <f t="shared" si="105"/>
        <v>18440</v>
      </c>
      <c r="K285" s="13">
        <f t="shared" si="105"/>
        <v>64000</v>
      </c>
      <c r="L285" s="13">
        <f t="shared" si="105"/>
        <v>24000</v>
      </c>
      <c r="M285" s="13">
        <f t="shared" si="105"/>
        <v>114631</v>
      </c>
      <c r="N285" s="13">
        <f t="shared" si="105"/>
        <v>35231</v>
      </c>
      <c r="O285" s="13">
        <f t="shared" si="105"/>
        <v>0</v>
      </c>
      <c r="P285" s="13">
        <f t="shared" si="105"/>
        <v>35231</v>
      </c>
      <c r="Q285" s="13">
        <f t="shared" si="105"/>
        <v>11231</v>
      </c>
      <c r="R285" s="14">
        <f>Q285/L285</f>
        <v>0.4679583333333333</v>
      </c>
    </row>
    <row r="286" spans="3:18" ht="12.75" hidden="1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5"/>
    </row>
    <row r="287" spans="2:18" s="16" customFormat="1" ht="12.75">
      <c r="B287" s="17" t="s">
        <v>253</v>
      </c>
      <c r="C287" s="18">
        <f aca="true" t="shared" si="106" ref="C287:Q287">SUM(C285+C282+C277+C271+C254)</f>
        <v>2108341.31</v>
      </c>
      <c r="D287" s="18">
        <f t="shared" si="106"/>
        <v>2064795</v>
      </c>
      <c r="E287" s="18">
        <f t="shared" si="106"/>
        <v>-10000</v>
      </c>
      <c r="F287" s="18">
        <f t="shared" si="106"/>
        <v>2054795</v>
      </c>
      <c r="G287" s="18">
        <f t="shared" si="106"/>
        <v>2069795.0000000002</v>
      </c>
      <c r="H287" s="18">
        <f t="shared" si="106"/>
        <v>1959908.5</v>
      </c>
      <c r="I287" s="18">
        <f t="shared" si="106"/>
        <v>0</v>
      </c>
      <c r="J287" s="18">
        <f t="shared" si="106"/>
        <v>1959908.5</v>
      </c>
      <c r="K287" s="18">
        <f t="shared" si="106"/>
        <v>2355150</v>
      </c>
      <c r="L287" s="18">
        <f t="shared" si="106"/>
        <v>2011455</v>
      </c>
      <c r="M287" s="18">
        <f>SUM(M285+M282+M277+M271+M254)</f>
        <v>2480983</v>
      </c>
      <c r="N287" s="18">
        <f>SUM(N285+N282+N277+N271+N254)</f>
        <v>2235700.475</v>
      </c>
      <c r="O287" s="18">
        <f>SUM(O285+O282+O277+O271+O254)</f>
        <v>-12600</v>
      </c>
      <c r="P287" s="18">
        <f>SUM(P285+P282+P277+P271+P254)</f>
        <v>2223100.475</v>
      </c>
      <c r="Q287" s="18">
        <f t="shared" si="106"/>
        <v>211645.475</v>
      </c>
      <c r="R287" s="19">
        <f>Q287/L287</f>
        <v>0.10522008943774531</v>
      </c>
    </row>
    <row r="288" spans="3:17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9"/>
    </row>
    <row r="289" spans="2:18" ht="12.75">
      <c r="B289" s="8" t="s">
        <v>254</v>
      </c>
      <c r="C289" s="9"/>
      <c r="D289" s="9"/>
      <c r="E289" s="9"/>
      <c r="F289" s="9"/>
      <c r="G289" s="9"/>
      <c r="H289" s="9"/>
      <c r="I289" s="9"/>
      <c r="J289" s="9"/>
      <c r="K289" s="10"/>
      <c r="L289" s="10"/>
      <c r="M289" s="10"/>
      <c r="N289" s="10"/>
      <c r="O289" s="10"/>
      <c r="P289" s="10"/>
      <c r="Q289" s="28"/>
      <c r="R289" s="28"/>
    </row>
    <row r="290" spans="1:18" ht="12.75" hidden="1">
      <c r="A290" t="s">
        <v>255</v>
      </c>
      <c r="B290" t="s">
        <v>256</v>
      </c>
      <c r="C290" s="9">
        <v>80000</v>
      </c>
      <c r="D290" s="9">
        <v>80000</v>
      </c>
      <c r="E290" s="9"/>
      <c r="F290" s="10">
        <f aca="true" t="shared" si="107" ref="F290:F302">D290+E290</f>
        <v>80000</v>
      </c>
      <c r="G290" s="10">
        <v>88259</v>
      </c>
      <c r="H290" s="10">
        <v>84864</v>
      </c>
      <c r="I290" s="9"/>
      <c r="J290" s="10">
        <f aca="true" t="shared" si="108" ref="J290:J302">H290+I290</f>
        <v>84864</v>
      </c>
      <c r="K290" s="10">
        <v>88259</v>
      </c>
      <c r="L290" s="10">
        <v>88259</v>
      </c>
      <c r="M290" s="10">
        <v>91789</v>
      </c>
      <c r="N290" s="10">
        <v>91789</v>
      </c>
      <c r="O290" s="10"/>
      <c r="P290" s="10">
        <f aca="true" t="shared" si="109" ref="P290:P302">N290+O290</f>
        <v>91789</v>
      </c>
      <c r="Q290" s="10">
        <f aca="true" t="shared" si="110" ref="Q290:Q302">P290-L290</f>
        <v>3530</v>
      </c>
      <c r="R290" s="11">
        <f aca="true" t="shared" si="111" ref="R290:R302">Q290/L290</f>
        <v>0.039995921095865576</v>
      </c>
    </row>
    <row r="291" spans="1:23" ht="12.75" hidden="1">
      <c r="A291" t="s">
        <v>257</v>
      </c>
      <c r="B291" t="s">
        <v>258</v>
      </c>
      <c r="C291" s="9">
        <v>247903</v>
      </c>
      <c r="D291" s="9">
        <v>247903</v>
      </c>
      <c r="E291" s="9"/>
      <c r="F291" s="10">
        <f t="shared" si="107"/>
        <v>247903</v>
      </c>
      <c r="G291" s="10">
        <v>247903</v>
      </c>
      <c r="H291" s="10">
        <v>247903</v>
      </c>
      <c r="I291" s="9"/>
      <c r="J291" s="10">
        <f t="shared" si="108"/>
        <v>247903</v>
      </c>
      <c r="K291" s="10">
        <v>261420</v>
      </c>
      <c r="L291" s="10">
        <v>270570</v>
      </c>
      <c r="M291" s="10">
        <v>313704</v>
      </c>
      <c r="N291" s="10">
        <v>313704</v>
      </c>
      <c r="O291" s="10"/>
      <c r="P291" s="10">
        <f t="shared" si="109"/>
        <v>313704</v>
      </c>
      <c r="Q291" s="10">
        <f t="shared" si="110"/>
        <v>43134</v>
      </c>
      <c r="R291" s="11">
        <f t="shared" si="111"/>
        <v>0.15941900432420444</v>
      </c>
      <c r="W291">
        <v>1751.28</v>
      </c>
    </row>
    <row r="292" spans="1:23" ht="12.75" hidden="1">
      <c r="A292" t="s">
        <v>259</v>
      </c>
      <c r="B292" t="s">
        <v>260</v>
      </c>
      <c r="C292" s="9">
        <v>21500</v>
      </c>
      <c r="D292" s="9">
        <f>21500-4500</f>
        <v>17000</v>
      </c>
      <c r="E292" s="9">
        <v>-2000</v>
      </c>
      <c r="F292" s="10">
        <f t="shared" si="107"/>
        <v>15000</v>
      </c>
      <c r="G292" s="10">
        <v>17000</v>
      </c>
      <c r="H292" s="10">
        <v>15000</v>
      </c>
      <c r="I292" s="9"/>
      <c r="J292" s="10">
        <f t="shared" si="108"/>
        <v>15000</v>
      </c>
      <c r="K292" s="10">
        <v>17000</v>
      </c>
      <c r="L292" s="10">
        <v>17000</v>
      </c>
      <c r="M292" s="10">
        <v>20000</v>
      </c>
      <c r="N292" s="10">
        <v>17000</v>
      </c>
      <c r="O292" s="10"/>
      <c r="P292" s="10">
        <f t="shared" si="109"/>
        <v>17000</v>
      </c>
      <c r="Q292" s="10">
        <f t="shared" si="110"/>
        <v>0</v>
      </c>
      <c r="R292" s="11">
        <f t="shared" si="111"/>
        <v>0</v>
      </c>
      <c r="W292">
        <v>6</v>
      </c>
    </row>
    <row r="293" spans="2:18" ht="12.75" hidden="1">
      <c r="B293" t="s">
        <v>261</v>
      </c>
      <c r="C293" s="9">
        <v>63650</v>
      </c>
      <c r="D293" s="9">
        <f>63650-10000</f>
        <v>53650</v>
      </c>
      <c r="E293" s="9"/>
      <c r="F293" s="10">
        <f t="shared" si="107"/>
        <v>53650</v>
      </c>
      <c r="G293" s="10">
        <v>63650</v>
      </c>
      <c r="H293" s="10">
        <v>53650</v>
      </c>
      <c r="I293" s="9"/>
      <c r="J293" s="10">
        <f t="shared" si="108"/>
        <v>53650</v>
      </c>
      <c r="K293" s="10">
        <v>63650</v>
      </c>
      <c r="L293" s="10">
        <v>53650</v>
      </c>
      <c r="M293" s="10">
        <v>67000</v>
      </c>
      <c r="N293" s="10">
        <v>53650</v>
      </c>
      <c r="O293" s="10"/>
      <c r="P293" s="10">
        <f t="shared" si="109"/>
        <v>53650</v>
      </c>
      <c r="Q293" s="10">
        <f t="shared" si="110"/>
        <v>0</v>
      </c>
      <c r="R293" s="11">
        <f t="shared" si="111"/>
        <v>0</v>
      </c>
    </row>
    <row r="294" spans="2:18" ht="12.75" hidden="1">
      <c r="B294" t="s">
        <v>262</v>
      </c>
      <c r="C294" s="9">
        <v>37375</v>
      </c>
      <c r="D294" s="9">
        <v>38711</v>
      </c>
      <c r="E294" s="9"/>
      <c r="F294" s="10">
        <f t="shared" si="107"/>
        <v>38711</v>
      </c>
      <c r="G294" s="10">
        <v>38711</v>
      </c>
      <c r="H294" s="10">
        <v>38711</v>
      </c>
      <c r="I294" s="9"/>
      <c r="J294" s="10">
        <f t="shared" si="108"/>
        <v>38711</v>
      </c>
      <c r="K294" s="10">
        <v>41068</v>
      </c>
      <c r="L294" s="10">
        <v>41068</v>
      </c>
      <c r="M294" s="10">
        <v>41068</v>
      </c>
      <c r="N294" s="10">
        <v>41068</v>
      </c>
      <c r="O294" s="10"/>
      <c r="P294" s="10">
        <f t="shared" si="109"/>
        <v>41068</v>
      </c>
      <c r="Q294" s="10">
        <f t="shared" si="110"/>
        <v>0</v>
      </c>
      <c r="R294" s="11">
        <f t="shared" si="111"/>
        <v>0</v>
      </c>
    </row>
    <row r="295" spans="1:23" ht="12.75" hidden="1">
      <c r="A295" t="s">
        <v>263</v>
      </c>
      <c r="B295" t="s">
        <v>264</v>
      </c>
      <c r="C295" s="9">
        <v>401820.94</v>
      </c>
      <c r="D295" s="9">
        <v>401820.94</v>
      </c>
      <c r="E295" s="9">
        <v>-1000</v>
      </c>
      <c r="F295" s="10">
        <f t="shared" si="107"/>
        <v>400820.94</v>
      </c>
      <c r="G295" s="10">
        <v>400821</v>
      </c>
      <c r="H295" s="10">
        <v>400821</v>
      </c>
      <c r="I295" s="9"/>
      <c r="J295" s="10">
        <f t="shared" si="108"/>
        <v>400821</v>
      </c>
      <c r="K295" s="10">
        <v>425000</v>
      </c>
      <c r="L295" s="10">
        <v>425000</v>
      </c>
      <c r="M295" s="10">
        <v>426000</v>
      </c>
      <c r="N295" s="10">
        <f>426000-30428+14401</f>
        <v>409973</v>
      </c>
      <c r="O295" s="10"/>
      <c r="P295" s="10">
        <f t="shared" si="109"/>
        <v>409973</v>
      </c>
      <c r="Q295" s="10">
        <f t="shared" si="110"/>
        <v>-15027</v>
      </c>
      <c r="R295" s="11">
        <f t="shared" si="111"/>
        <v>-0.03535764705882353</v>
      </c>
      <c r="W295">
        <f>W291*W292</f>
        <v>10507.68</v>
      </c>
    </row>
    <row r="296" spans="1:18" ht="12.75" hidden="1">
      <c r="A296" t="s">
        <v>265</v>
      </c>
      <c r="B296" t="s">
        <v>266</v>
      </c>
      <c r="C296" s="9">
        <v>60000</v>
      </c>
      <c r="D296" s="9">
        <f>60000-5000</f>
        <v>55000</v>
      </c>
      <c r="E296" s="9"/>
      <c r="F296" s="10">
        <f t="shared" si="107"/>
        <v>55000</v>
      </c>
      <c r="G296" s="10">
        <v>55000</v>
      </c>
      <c r="H296" s="10">
        <v>55000</v>
      </c>
      <c r="I296" s="9"/>
      <c r="J296" s="10">
        <f t="shared" si="108"/>
        <v>55000</v>
      </c>
      <c r="K296" s="10">
        <v>60000</v>
      </c>
      <c r="L296" s="10">
        <v>55000</v>
      </c>
      <c r="M296" s="10">
        <v>65000</v>
      </c>
      <c r="N296" s="10">
        <v>55000</v>
      </c>
      <c r="O296" s="10"/>
      <c r="P296" s="10">
        <f t="shared" si="109"/>
        <v>55000</v>
      </c>
      <c r="Q296" s="10">
        <f t="shared" si="110"/>
        <v>0</v>
      </c>
      <c r="R296" s="11">
        <f t="shared" si="111"/>
        <v>0</v>
      </c>
    </row>
    <row r="297" spans="1:18" ht="12.75" hidden="1">
      <c r="A297" t="s">
        <v>267</v>
      </c>
      <c r="B297" t="s">
        <v>268</v>
      </c>
      <c r="C297" s="9">
        <v>16270</v>
      </c>
      <c r="D297" s="9">
        <v>16270</v>
      </c>
      <c r="E297" s="9"/>
      <c r="F297" s="10">
        <f t="shared" si="107"/>
        <v>16270</v>
      </c>
      <c r="G297" s="10">
        <v>16270</v>
      </c>
      <c r="H297" s="10">
        <v>16270</v>
      </c>
      <c r="I297" s="9"/>
      <c r="J297" s="10">
        <f t="shared" si="108"/>
        <v>16270</v>
      </c>
      <c r="K297" s="10">
        <v>16720</v>
      </c>
      <c r="L297" s="10">
        <v>16720</v>
      </c>
      <c r="M297" s="10">
        <v>20000</v>
      </c>
      <c r="N297" s="10">
        <v>16720</v>
      </c>
      <c r="O297" s="10"/>
      <c r="P297" s="10">
        <f t="shared" si="109"/>
        <v>16720</v>
      </c>
      <c r="Q297" s="10">
        <f t="shared" si="110"/>
        <v>0</v>
      </c>
      <c r="R297" s="11">
        <f t="shared" si="111"/>
        <v>0</v>
      </c>
    </row>
    <row r="298" spans="2:18" ht="12.75" hidden="1">
      <c r="B298" s="20" t="s">
        <v>76</v>
      </c>
      <c r="C298" s="9"/>
      <c r="D298" s="9"/>
      <c r="E298" s="9"/>
      <c r="F298" s="10"/>
      <c r="G298" s="10"/>
      <c r="H298" s="10"/>
      <c r="I298" s="9"/>
      <c r="J298" s="10"/>
      <c r="K298" s="10"/>
      <c r="L298" s="10"/>
      <c r="M298" s="10">
        <v>2000</v>
      </c>
      <c r="N298" s="10">
        <v>2000</v>
      </c>
      <c r="O298" s="10"/>
      <c r="P298" s="10">
        <f t="shared" si="109"/>
        <v>2000</v>
      </c>
      <c r="Q298" s="10">
        <f t="shared" si="110"/>
        <v>2000</v>
      </c>
      <c r="R298" s="11" t="e">
        <f t="shared" si="111"/>
        <v>#DIV/0!</v>
      </c>
    </row>
    <row r="299" spans="1:18" ht="12.75" hidden="1">
      <c r="A299" t="s">
        <v>269</v>
      </c>
      <c r="B299" t="s">
        <v>270</v>
      </c>
      <c r="C299" s="9">
        <v>5500</v>
      </c>
      <c r="D299" s="9">
        <v>5500</v>
      </c>
      <c r="E299" s="9"/>
      <c r="F299" s="10">
        <f t="shared" si="107"/>
        <v>5500</v>
      </c>
      <c r="G299" s="10">
        <v>5500</v>
      </c>
      <c r="H299" s="10">
        <v>5500</v>
      </c>
      <c r="I299" s="9"/>
      <c r="J299" s="10">
        <f t="shared" si="108"/>
        <v>5500</v>
      </c>
      <c r="K299" s="10">
        <v>6000</v>
      </c>
      <c r="L299" s="10">
        <v>6000</v>
      </c>
      <c r="M299" s="10">
        <v>6500</v>
      </c>
      <c r="N299" s="10">
        <v>6000</v>
      </c>
      <c r="O299" s="10"/>
      <c r="P299" s="10">
        <f t="shared" si="109"/>
        <v>6000</v>
      </c>
      <c r="Q299" s="10">
        <f t="shared" si="110"/>
        <v>0</v>
      </c>
      <c r="R299" s="11">
        <f t="shared" si="111"/>
        <v>0</v>
      </c>
    </row>
    <row r="300" spans="1:18" ht="12.75" hidden="1">
      <c r="A300" t="s">
        <v>271</v>
      </c>
      <c r="B300" t="s">
        <v>272</v>
      </c>
      <c r="C300" s="9">
        <v>9500</v>
      </c>
      <c r="D300" s="9">
        <v>9500</v>
      </c>
      <c r="E300" s="9"/>
      <c r="F300" s="10">
        <f t="shared" si="107"/>
        <v>9500</v>
      </c>
      <c r="G300" s="10">
        <v>9500</v>
      </c>
      <c r="H300" s="10">
        <v>9500</v>
      </c>
      <c r="I300" s="9"/>
      <c r="J300" s="10">
        <f t="shared" si="108"/>
        <v>9500</v>
      </c>
      <c r="K300" s="10">
        <v>10000</v>
      </c>
      <c r="L300" s="10">
        <v>10000</v>
      </c>
      <c r="M300" s="10">
        <v>10900</v>
      </c>
      <c r="N300" s="10">
        <v>10900</v>
      </c>
      <c r="O300" s="10"/>
      <c r="P300" s="10">
        <f t="shared" si="109"/>
        <v>10900</v>
      </c>
      <c r="Q300" s="10">
        <f t="shared" si="110"/>
        <v>900</v>
      </c>
      <c r="R300" s="11">
        <f t="shared" si="111"/>
        <v>0.09</v>
      </c>
    </row>
    <row r="301" spans="1:18" ht="12.75" hidden="1">
      <c r="A301" t="s">
        <v>273</v>
      </c>
      <c r="B301" t="s">
        <v>274</v>
      </c>
      <c r="C301" s="9">
        <v>17750</v>
      </c>
      <c r="D301" s="9">
        <v>17750</v>
      </c>
      <c r="E301" s="9"/>
      <c r="F301" s="10">
        <f t="shared" si="107"/>
        <v>17750</v>
      </c>
      <c r="G301" s="10">
        <v>17000</v>
      </c>
      <c r="H301" s="10">
        <v>17000</v>
      </c>
      <c r="I301" s="9"/>
      <c r="J301" s="10">
        <f t="shared" si="108"/>
        <v>17000</v>
      </c>
      <c r="K301" s="10">
        <v>18000</v>
      </c>
      <c r="L301" s="10">
        <v>18000</v>
      </c>
      <c r="M301" s="10">
        <v>19500</v>
      </c>
      <c r="N301" s="10">
        <v>19500</v>
      </c>
      <c r="O301" s="10"/>
      <c r="P301" s="10">
        <f t="shared" si="109"/>
        <v>19500</v>
      </c>
      <c r="Q301" s="10">
        <f t="shared" si="110"/>
        <v>1500</v>
      </c>
      <c r="R301" s="11">
        <f t="shared" si="111"/>
        <v>0.08333333333333333</v>
      </c>
    </row>
    <row r="302" spans="1:18" ht="12.75" hidden="1">
      <c r="A302" t="s">
        <v>275</v>
      </c>
      <c r="B302" t="s">
        <v>276</v>
      </c>
      <c r="C302" s="9">
        <v>22600</v>
      </c>
      <c r="D302" s="9">
        <v>22600</v>
      </c>
      <c r="E302" s="9"/>
      <c r="F302" s="10">
        <f t="shared" si="107"/>
        <v>22600</v>
      </c>
      <c r="G302" s="10">
        <v>22700</v>
      </c>
      <c r="H302" s="10">
        <v>22700</v>
      </c>
      <c r="I302" s="9"/>
      <c r="J302" s="10">
        <f t="shared" si="108"/>
        <v>22700</v>
      </c>
      <c r="K302" s="10">
        <v>22700</v>
      </c>
      <c r="L302" s="10">
        <v>22700</v>
      </c>
      <c r="M302" s="10">
        <v>24800</v>
      </c>
      <c r="N302" s="10">
        <v>24800</v>
      </c>
      <c r="O302" s="10"/>
      <c r="P302" s="10">
        <f t="shared" si="109"/>
        <v>24800</v>
      </c>
      <c r="Q302" s="10">
        <f t="shared" si="110"/>
        <v>2100</v>
      </c>
      <c r="R302" s="11">
        <f t="shared" si="111"/>
        <v>0.09251101321585903</v>
      </c>
    </row>
    <row r="303" spans="2:18" ht="12.75">
      <c r="B303" s="8" t="s">
        <v>20</v>
      </c>
      <c r="C303" s="12">
        <f aca="true" t="shared" si="112" ref="C303:Q303">SUM(C290:C302)</f>
        <v>983868.94</v>
      </c>
      <c r="D303" s="12">
        <f t="shared" si="112"/>
        <v>965704.94</v>
      </c>
      <c r="E303" s="12">
        <f t="shared" si="112"/>
        <v>-3000</v>
      </c>
      <c r="F303" s="12">
        <f t="shared" si="112"/>
        <v>962704.94</v>
      </c>
      <c r="G303" s="12">
        <f t="shared" si="112"/>
        <v>982314</v>
      </c>
      <c r="H303" s="12">
        <f t="shared" si="112"/>
        <v>966919</v>
      </c>
      <c r="I303" s="12">
        <f t="shared" si="112"/>
        <v>0</v>
      </c>
      <c r="J303" s="12">
        <f t="shared" si="112"/>
        <v>966919</v>
      </c>
      <c r="K303" s="13">
        <f t="shared" si="112"/>
        <v>1029817</v>
      </c>
      <c r="L303" s="13">
        <f>SUM(L290:L302)</f>
        <v>1023967</v>
      </c>
      <c r="M303" s="13">
        <f>SUM(M290:M302)</f>
        <v>1108261</v>
      </c>
      <c r="N303" s="13">
        <f>SUM(N290:N302)</f>
        <v>1062104</v>
      </c>
      <c r="O303" s="13">
        <f>SUM(O290:O302)</f>
        <v>0</v>
      </c>
      <c r="P303" s="13">
        <f>SUM(P290:P302)</f>
        <v>1062104</v>
      </c>
      <c r="Q303" s="13">
        <f t="shared" si="112"/>
        <v>38137</v>
      </c>
      <c r="R303" s="14">
        <f>Q303/L303</f>
        <v>0.03724436432033454</v>
      </c>
    </row>
    <row r="304" spans="3:18" ht="12.75" hidden="1">
      <c r="C304" s="9"/>
      <c r="D304" s="9"/>
      <c r="E304" s="9"/>
      <c r="F304" s="9"/>
      <c r="G304" s="9"/>
      <c r="H304" s="9"/>
      <c r="I304" s="9"/>
      <c r="J304" s="9"/>
      <c r="K304" s="10"/>
      <c r="L304" s="10"/>
      <c r="M304" s="10"/>
      <c r="N304" s="10"/>
      <c r="O304" s="10"/>
      <c r="P304" s="10"/>
      <c r="Q304" s="10"/>
      <c r="R304" s="11"/>
    </row>
    <row r="305" spans="1:18" ht="12.75" hidden="1">
      <c r="A305" t="s">
        <v>277</v>
      </c>
      <c r="B305" t="s">
        <v>278</v>
      </c>
      <c r="C305" s="9">
        <v>12000</v>
      </c>
      <c r="D305" s="9">
        <v>12000</v>
      </c>
      <c r="E305" s="9"/>
      <c r="F305" s="10">
        <f aca="true" t="shared" si="113" ref="F305:F316">D305+E305</f>
        <v>12000</v>
      </c>
      <c r="G305" s="10">
        <v>13000</v>
      </c>
      <c r="H305" s="10">
        <v>12000</v>
      </c>
      <c r="I305" s="9"/>
      <c r="J305" s="10">
        <f aca="true" t="shared" si="114" ref="J305:J316">H305+I305</f>
        <v>12000</v>
      </c>
      <c r="K305" s="10">
        <v>13000</v>
      </c>
      <c r="L305" s="10">
        <v>10000</v>
      </c>
      <c r="M305" s="10">
        <v>14000</v>
      </c>
      <c r="N305" s="10">
        <v>12000</v>
      </c>
      <c r="O305" s="10"/>
      <c r="P305" s="10">
        <f aca="true" t="shared" si="115" ref="P305:P316">N305+O305</f>
        <v>12000</v>
      </c>
      <c r="Q305" s="10">
        <f aca="true" t="shared" si="116" ref="Q305:Q316">P305-L305</f>
        <v>2000</v>
      </c>
      <c r="R305" s="11">
        <f aca="true" t="shared" si="117" ref="R305:R316">Q305/L305</f>
        <v>0.2</v>
      </c>
    </row>
    <row r="306" spans="2:18" ht="12.75" hidden="1">
      <c r="B306" t="s">
        <v>279</v>
      </c>
      <c r="C306" s="9">
        <v>450</v>
      </c>
      <c r="D306" s="9">
        <v>450</v>
      </c>
      <c r="E306" s="9"/>
      <c r="F306" s="10">
        <f t="shared" si="113"/>
        <v>450</v>
      </c>
      <c r="G306" s="10">
        <v>550</v>
      </c>
      <c r="H306" s="10">
        <v>550</v>
      </c>
      <c r="I306" s="9"/>
      <c r="J306" s="10">
        <f t="shared" si="114"/>
        <v>550</v>
      </c>
      <c r="K306" s="10">
        <v>650</v>
      </c>
      <c r="L306" s="10">
        <v>650</v>
      </c>
      <c r="M306" s="10">
        <v>650</v>
      </c>
      <c r="N306" s="10">
        <v>650</v>
      </c>
      <c r="O306" s="10"/>
      <c r="P306" s="10">
        <f t="shared" si="115"/>
        <v>650</v>
      </c>
      <c r="Q306" s="10">
        <f t="shared" si="116"/>
        <v>0</v>
      </c>
      <c r="R306" s="11">
        <f t="shared" si="117"/>
        <v>0</v>
      </c>
    </row>
    <row r="307" spans="2:18" ht="12.75" hidden="1">
      <c r="B307" t="s">
        <v>280</v>
      </c>
      <c r="C307" s="9">
        <v>10000</v>
      </c>
      <c r="D307" s="9">
        <v>10000</v>
      </c>
      <c r="E307" s="9"/>
      <c r="F307" s="10">
        <f t="shared" si="113"/>
        <v>10000</v>
      </c>
      <c r="G307" s="10">
        <v>13000</v>
      </c>
      <c r="H307" s="10">
        <v>12000</v>
      </c>
      <c r="I307" s="9"/>
      <c r="J307" s="10">
        <f t="shared" si="114"/>
        <v>12000</v>
      </c>
      <c r="K307" s="10">
        <v>14000</v>
      </c>
      <c r="L307" s="10">
        <v>14000</v>
      </c>
      <c r="M307" s="10">
        <v>14500</v>
      </c>
      <c r="N307" s="10">
        <v>14000</v>
      </c>
      <c r="O307" s="10"/>
      <c r="P307" s="10">
        <f t="shared" si="115"/>
        <v>14000</v>
      </c>
      <c r="Q307" s="10">
        <f t="shared" si="116"/>
        <v>0</v>
      </c>
      <c r="R307" s="11">
        <f t="shared" si="117"/>
        <v>0</v>
      </c>
    </row>
    <row r="308" spans="1:18" ht="12.75" hidden="1">
      <c r="A308" t="s">
        <v>281</v>
      </c>
      <c r="B308" t="s">
        <v>282</v>
      </c>
      <c r="C308" s="9">
        <v>40000</v>
      </c>
      <c r="D308" s="9">
        <v>30000</v>
      </c>
      <c r="E308" s="9">
        <v>-3000</v>
      </c>
      <c r="F308" s="10">
        <f t="shared" si="113"/>
        <v>27000</v>
      </c>
      <c r="G308" s="10">
        <v>30000</v>
      </c>
      <c r="H308" s="10">
        <v>30000</v>
      </c>
      <c r="I308" s="9"/>
      <c r="J308" s="10">
        <f t="shared" si="114"/>
        <v>30000</v>
      </c>
      <c r="K308" s="10">
        <v>40000</v>
      </c>
      <c r="L308" s="10">
        <v>35000</v>
      </c>
      <c r="M308" s="10">
        <v>35000</v>
      </c>
      <c r="N308" s="10">
        <v>35000</v>
      </c>
      <c r="O308" s="10"/>
      <c r="P308" s="10">
        <f t="shared" si="115"/>
        <v>35000</v>
      </c>
      <c r="Q308" s="10">
        <f t="shared" si="116"/>
        <v>0</v>
      </c>
      <c r="R308" s="11">
        <f t="shared" si="117"/>
        <v>0</v>
      </c>
    </row>
    <row r="309" spans="2:18" ht="12.75" hidden="1">
      <c r="B309" t="s">
        <v>228</v>
      </c>
      <c r="C309" s="9">
        <v>20000</v>
      </c>
      <c r="D309" s="9">
        <f>20000-3000</f>
        <v>17000</v>
      </c>
      <c r="E309" s="9"/>
      <c r="F309" s="10">
        <f t="shared" si="113"/>
        <v>17000</v>
      </c>
      <c r="G309" s="10">
        <v>25000</v>
      </c>
      <c r="H309" s="10">
        <v>17000</v>
      </c>
      <c r="I309" s="9"/>
      <c r="J309" s="10">
        <f t="shared" si="114"/>
        <v>17000</v>
      </c>
      <c r="K309" s="10">
        <v>25000</v>
      </c>
      <c r="L309" s="10">
        <v>20000</v>
      </c>
      <c r="M309" s="10">
        <v>30000</v>
      </c>
      <c r="N309" s="10">
        <v>25000</v>
      </c>
      <c r="O309" s="10"/>
      <c r="P309" s="10">
        <f t="shared" si="115"/>
        <v>25000</v>
      </c>
      <c r="Q309" s="10">
        <f t="shared" si="116"/>
        <v>5000</v>
      </c>
      <c r="R309" s="11">
        <f t="shared" si="117"/>
        <v>0.25</v>
      </c>
    </row>
    <row r="310" spans="2:18" ht="12.75" hidden="1">
      <c r="B310" t="s">
        <v>230</v>
      </c>
      <c r="C310" s="9">
        <v>12000</v>
      </c>
      <c r="D310" s="9">
        <f>9000-2000</f>
        <v>7000</v>
      </c>
      <c r="E310" s="9"/>
      <c r="F310" s="10">
        <f t="shared" si="113"/>
        <v>7000</v>
      </c>
      <c r="G310" s="10">
        <v>10000</v>
      </c>
      <c r="H310" s="10">
        <v>7000</v>
      </c>
      <c r="I310" s="9"/>
      <c r="J310" s="10">
        <f t="shared" si="114"/>
        <v>7000</v>
      </c>
      <c r="K310" s="10">
        <v>10000</v>
      </c>
      <c r="L310" s="10">
        <v>7000</v>
      </c>
      <c r="M310" s="10">
        <v>15000</v>
      </c>
      <c r="N310" s="10">
        <v>7000</v>
      </c>
      <c r="O310" s="10"/>
      <c r="P310" s="10">
        <f t="shared" si="115"/>
        <v>7000</v>
      </c>
      <c r="Q310" s="10">
        <f t="shared" si="116"/>
        <v>0</v>
      </c>
      <c r="R310" s="11">
        <f t="shared" si="117"/>
        <v>0</v>
      </c>
    </row>
    <row r="311" spans="1:18" ht="12.75" hidden="1">
      <c r="A311" t="s">
        <v>283</v>
      </c>
      <c r="B311" t="s">
        <v>284</v>
      </c>
      <c r="C311" s="9">
        <v>2200</v>
      </c>
      <c r="D311" s="9">
        <v>2200</v>
      </c>
      <c r="E311" s="9"/>
      <c r="F311" s="10">
        <f t="shared" si="113"/>
        <v>2200</v>
      </c>
      <c r="G311" s="10">
        <v>2200</v>
      </c>
      <c r="H311" s="10">
        <v>2200</v>
      </c>
      <c r="I311" s="9"/>
      <c r="J311" s="10">
        <f t="shared" si="114"/>
        <v>2200</v>
      </c>
      <c r="K311" s="10">
        <v>2200</v>
      </c>
      <c r="L311" s="10">
        <v>2200</v>
      </c>
      <c r="M311" s="10">
        <v>2200</v>
      </c>
      <c r="N311" s="10">
        <v>2200</v>
      </c>
      <c r="O311" s="10"/>
      <c r="P311" s="10">
        <f t="shared" si="115"/>
        <v>2200</v>
      </c>
      <c r="Q311" s="10">
        <f t="shared" si="116"/>
        <v>0</v>
      </c>
      <c r="R311" s="11">
        <f t="shared" si="117"/>
        <v>0</v>
      </c>
    </row>
    <row r="312" spans="1:18" ht="12.75" hidden="1">
      <c r="A312" t="s">
        <v>285</v>
      </c>
      <c r="B312" t="s">
        <v>286</v>
      </c>
      <c r="C312" s="9">
        <v>12000</v>
      </c>
      <c r="D312" s="9">
        <v>7000</v>
      </c>
      <c r="E312" s="9"/>
      <c r="F312" s="10">
        <f t="shared" si="113"/>
        <v>7000</v>
      </c>
      <c r="G312" s="10">
        <v>10000</v>
      </c>
      <c r="H312" s="10">
        <v>7000</v>
      </c>
      <c r="I312" s="9"/>
      <c r="J312" s="10">
        <f t="shared" si="114"/>
        <v>7000</v>
      </c>
      <c r="K312" s="10">
        <v>10000</v>
      </c>
      <c r="L312" s="10">
        <v>7000</v>
      </c>
      <c r="M312" s="10">
        <v>12000</v>
      </c>
      <c r="N312" s="10">
        <v>7000</v>
      </c>
      <c r="O312" s="10"/>
      <c r="P312" s="10">
        <f t="shared" si="115"/>
        <v>7000</v>
      </c>
      <c r="Q312" s="10">
        <f t="shared" si="116"/>
        <v>0</v>
      </c>
      <c r="R312" s="11">
        <f t="shared" si="117"/>
        <v>0</v>
      </c>
    </row>
    <row r="313" spans="1:18" ht="12.75" hidden="1">
      <c r="A313" t="s">
        <v>287</v>
      </c>
      <c r="B313" t="s">
        <v>237</v>
      </c>
      <c r="C313" s="10">
        <v>8000</v>
      </c>
      <c r="D313" s="10">
        <v>6000</v>
      </c>
      <c r="E313" s="10"/>
      <c r="F313" s="10">
        <f t="shared" si="113"/>
        <v>6000</v>
      </c>
      <c r="G313" s="10">
        <v>8000</v>
      </c>
      <c r="H313" s="10">
        <v>6000</v>
      </c>
      <c r="I313" s="10"/>
      <c r="J313" s="10">
        <f t="shared" si="114"/>
        <v>6000</v>
      </c>
      <c r="K313" s="10">
        <v>7500</v>
      </c>
      <c r="L313" s="10">
        <v>7500</v>
      </c>
      <c r="M313" s="10">
        <v>15000</v>
      </c>
      <c r="N313" s="10">
        <v>7500</v>
      </c>
      <c r="O313" s="10"/>
      <c r="P313" s="10">
        <f t="shared" si="115"/>
        <v>7500</v>
      </c>
      <c r="Q313" s="10">
        <f t="shared" si="116"/>
        <v>0</v>
      </c>
      <c r="R313" s="11">
        <f t="shared" si="117"/>
        <v>0</v>
      </c>
    </row>
    <row r="314" spans="2:18" ht="12.75" hidden="1">
      <c r="B314" t="s">
        <v>288</v>
      </c>
      <c r="C314" s="9">
        <v>12000</v>
      </c>
      <c r="D314" s="9">
        <v>9000</v>
      </c>
      <c r="E314" s="9"/>
      <c r="F314" s="10">
        <f t="shared" si="113"/>
        <v>9000</v>
      </c>
      <c r="G314" s="10">
        <v>15000</v>
      </c>
      <c r="H314" s="10">
        <v>9000</v>
      </c>
      <c r="I314" s="9"/>
      <c r="J314" s="10">
        <f t="shared" si="114"/>
        <v>9000</v>
      </c>
      <c r="K314" s="10">
        <v>10000</v>
      </c>
      <c r="L314" s="10">
        <v>3000</v>
      </c>
      <c r="M314" s="10">
        <v>12000</v>
      </c>
      <c r="N314" s="10">
        <v>5000</v>
      </c>
      <c r="O314" s="10"/>
      <c r="P314" s="10">
        <f t="shared" si="115"/>
        <v>5000</v>
      </c>
      <c r="Q314" s="10">
        <f t="shared" si="116"/>
        <v>2000</v>
      </c>
      <c r="R314" s="11">
        <f t="shared" si="117"/>
        <v>0.6666666666666666</v>
      </c>
    </row>
    <row r="315" spans="1:18" ht="12.75" hidden="1">
      <c r="A315" t="s">
        <v>289</v>
      </c>
      <c r="B315" t="s">
        <v>50</v>
      </c>
      <c r="C315" s="9">
        <v>7000</v>
      </c>
      <c r="D315" s="9">
        <v>7000</v>
      </c>
      <c r="E315" s="9"/>
      <c r="F315" s="10">
        <f t="shared" si="113"/>
        <v>7000</v>
      </c>
      <c r="G315" s="10">
        <v>7000</v>
      </c>
      <c r="H315" s="10">
        <v>7000</v>
      </c>
      <c r="I315" s="9"/>
      <c r="J315" s="10">
        <f t="shared" si="114"/>
        <v>7000</v>
      </c>
      <c r="K315" s="10">
        <v>7500</v>
      </c>
      <c r="L315" s="10">
        <v>5500</v>
      </c>
      <c r="M315" s="10">
        <v>7000</v>
      </c>
      <c r="N315" s="10">
        <v>5500</v>
      </c>
      <c r="O315" s="10"/>
      <c r="P315" s="10">
        <f t="shared" si="115"/>
        <v>5500</v>
      </c>
      <c r="Q315" s="10">
        <f t="shared" si="116"/>
        <v>0</v>
      </c>
      <c r="R315" s="11">
        <f t="shared" si="117"/>
        <v>0</v>
      </c>
    </row>
    <row r="316" spans="2:18" ht="12.75" hidden="1">
      <c r="B316" t="s">
        <v>290</v>
      </c>
      <c r="C316" s="10">
        <v>10000</v>
      </c>
      <c r="D316" s="10">
        <f>8000-6000</f>
        <v>2000</v>
      </c>
      <c r="E316" s="10"/>
      <c r="F316" s="10">
        <f t="shared" si="113"/>
        <v>2000</v>
      </c>
      <c r="G316" s="10">
        <v>15000</v>
      </c>
      <c r="H316" s="10">
        <v>15000</v>
      </c>
      <c r="I316" s="10"/>
      <c r="J316" s="10">
        <f t="shared" si="114"/>
        <v>15000</v>
      </c>
      <c r="K316" s="10">
        <v>10000</v>
      </c>
      <c r="L316" s="10">
        <v>10000</v>
      </c>
      <c r="M316" s="10">
        <v>15000</v>
      </c>
      <c r="N316" s="10">
        <v>10000</v>
      </c>
      <c r="O316" s="10"/>
      <c r="P316" s="10">
        <f t="shared" si="115"/>
        <v>10000</v>
      </c>
      <c r="Q316" s="10">
        <f t="shared" si="116"/>
        <v>0</v>
      </c>
      <c r="R316" s="11">
        <f t="shared" si="117"/>
        <v>0</v>
      </c>
    </row>
    <row r="317" spans="2:18" ht="12.75">
      <c r="B317" s="8" t="s">
        <v>23</v>
      </c>
      <c r="C317" s="12">
        <f aca="true" t="shared" si="118" ref="C317:Q317">SUM(C305:C316)</f>
        <v>145650</v>
      </c>
      <c r="D317" s="12">
        <f t="shared" si="118"/>
        <v>109650</v>
      </c>
      <c r="E317" s="12">
        <f t="shared" si="118"/>
        <v>-3000</v>
      </c>
      <c r="F317" s="12">
        <f t="shared" si="118"/>
        <v>106650</v>
      </c>
      <c r="G317" s="12">
        <f t="shared" si="118"/>
        <v>148750</v>
      </c>
      <c r="H317" s="12">
        <f t="shared" si="118"/>
        <v>124750</v>
      </c>
      <c r="I317" s="12">
        <f t="shared" si="118"/>
        <v>0</v>
      </c>
      <c r="J317" s="12">
        <f t="shared" si="118"/>
        <v>124750</v>
      </c>
      <c r="K317" s="13">
        <f t="shared" si="118"/>
        <v>149850</v>
      </c>
      <c r="L317" s="13">
        <f>SUM(L305:L316)</f>
        <v>121850</v>
      </c>
      <c r="M317" s="13">
        <f>SUM(M305:M316)</f>
        <v>172350</v>
      </c>
      <c r="N317" s="13">
        <f>SUM(N305:N316)</f>
        <v>130850</v>
      </c>
      <c r="O317" s="13">
        <f>SUM(O305:O316)</f>
        <v>0</v>
      </c>
      <c r="P317" s="13">
        <f>SUM(P305:P316)</f>
        <v>130850</v>
      </c>
      <c r="Q317" s="13">
        <f t="shared" si="118"/>
        <v>9000</v>
      </c>
      <c r="R317" s="14">
        <f>Q317/L317</f>
        <v>0.07386130488305294</v>
      </c>
    </row>
    <row r="318" spans="3:18" ht="12.75" hidden="1">
      <c r="C318" s="9"/>
      <c r="D318" s="9"/>
      <c r="E318" s="9"/>
      <c r="F318" s="9"/>
      <c r="G318" s="9"/>
      <c r="H318" s="9"/>
      <c r="I318" s="9"/>
      <c r="J318" s="9"/>
      <c r="K318" s="10"/>
      <c r="L318" s="10"/>
      <c r="M318" s="10"/>
      <c r="N318" s="10"/>
      <c r="O318" s="10"/>
      <c r="P318" s="10"/>
      <c r="Q318" s="10"/>
      <c r="R318" s="11"/>
    </row>
    <row r="319" spans="1:18" ht="12.75" hidden="1">
      <c r="A319" t="s">
        <v>291</v>
      </c>
      <c r="B319" t="s">
        <v>292</v>
      </c>
      <c r="C319" s="9">
        <v>12000</v>
      </c>
      <c r="D319" s="9">
        <f>12000-6500</f>
        <v>5500</v>
      </c>
      <c r="E319" s="9"/>
      <c r="F319" s="10">
        <f>D319+E319</f>
        <v>5500</v>
      </c>
      <c r="G319" s="10">
        <v>5500</v>
      </c>
      <c r="H319" s="10">
        <v>5500</v>
      </c>
      <c r="I319" s="9"/>
      <c r="J319" s="10">
        <f>H319+I319</f>
        <v>5500</v>
      </c>
      <c r="K319" s="10">
        <v>6000</v>
      </c>
      <c r="L319" s="10">
        <v>6000</v>
      </c>
      <c r="M319" s="10">
        <v>6500</v>
      </c>
      <c r="N319" s="10">
        <v>6500</v>
      </c>
      <c r="O319" s="10"/>
      <c r="P319" s="10">
        <f>N319+O319</f>
        <v>6500</v>
      </c>
      <c r="Q319" s="10">
        <f>P319-L319</f>
        <v>500</v>
      </c>
      <c r="R319" s="11">
        <f>Q319/L319</f>
        <v>0.08333333333333333</v>
      </c>
    </row>
    <row r="320" spans="1:18" ht="12.75" hidden="1">
      <c r="A320" t="s">
        <v>293</v>
      </c>
      <c r="B320" t="s">
        <v>294</v>
      </c>
      <c r="C320" s="9"/>
      <c r="D320" s="9"/>
      <c r="E320" s="9"/>
      <c r="F320" s="10">
        <f>D320+E320</f>
        <v>0</v>
      </c>
      <c r="G320" s="10"/>
      <c r="H320" s="10"/>
      <c r="I320" s="9"/>
      <c r="J320" s="10">
        <f>H320+I320</f>
        <v>0</v>
      </c>
      <c r="K320" s="10"/>
      <c r="L320" s="10"/>
      <c r="M320" s="10"/>
      <c r="N320" s="10"/>
      <c r="O320" s="10"/>
      <c r="P320" s="10">
        <f>N320+O320</f>
        <v>0</v>
      </c>
      <c r="Q320" s="10">
        <f>P320-L320</f>
        <v>0</v>
      </c>
      <c r="R320" s="11" t="e">
        <f>Q320/L320</f>
        <v>#DIV/0!</v>
      </c>
    </row>
    <row r="321" spans="1:18" ht="12.75" hidden="1">
      <c r="A321" t="s">
        <v>295</v>
      </c>
      <c r="B321" t="s">
        <v>107</v>
      </c>
      <c r="C321" s="10">
        <v>14000</v>
      </c>
      <c r="D321" s="10">
        <f>14000-1000</f>
        <v>13000</v>
      </c>
      <c r="E321" s="10"/>
      <c r="F321" s="10">
        <f>D321+E321</f>
        <v>13000</v>
      </c>
      <c r="G321" s="10">
        <v>15000</v>
      </c>
      <c r="H321" s="10">
        <v>13000</v>
      </c>
      <c r="I321" s="10"/>
      <c r="J321" s="10">
        <f>H321+I321</f>
        <v>13000</v>
      </c>
      <c r="K321" s="10">
        <v>14000</v>
      </c>
      <c r="L321" s="10">
        <v>14000</v>
      </c>
      <c r="M321" s="10">
        <v>15000</v>
      </c>
      <c r="N321" s="10">
        <v>15000</v>
      </c>
      <c r="O321" s="10"/>
      <c r="P321" s="10">
        <f>N321+O321</f>
        <v>15000</v>
      </c>
      <c r="Q321" s="10">
        <f>P321-L321</f>
        <v>1000</v>
      </c>
      <c r="R321" s="11">
        <f>Q321/L321</f>
        <v>0.07142857142857142</v>
      </c>
    </row>
    <row r="322" spans="2:18" ht="12.75">
      <c r="B322" s="8" t="s">
        <v>53</v>
      </c>
      <c r="C322" s="12">
        <f aca="true" t="shared" si="119" ref="C322:Q322">SUM(C319:C321)</f>
        <v>26000</v>
      </c>
      <c r="D322" s="12">
        <f t="shared" si="119"/>
        <v>18500</v>
      </c>
      <c r="E322" s="12">
        <f t="shared" si="119"/>
        <v>0</v>
      </c>
      <c r="F322" s="12">
        <f t="shared" si="119"/>
        <v>18500</v>
      </c>
      <c r="G322" s="12">
        <f t="shared" si="119"/>
        <v>20500</v>
      </c>
      <c r="H322" s="12">
        <f t="shared" si="119"/>
        <v>18500</v>
      </c>
      <c r="I322" s="12">
        <f t="shared" si="119"/>
        <v>0</v>
      </c>
      <c r="J322" s="12">
        <f t="shared" si="119"/>
        <v>18500</v>
      </c>
      <c r="K322" s="13">
        <f t="shared" si="119"/>
        <v>20000</v>
      </c>
      <c r="L322" s="13">
        <f>SUM(L319:L321)</f>
        <v>20000</v>
      </c>
      <c r="M322" s="13">
        <f>SUM(M319:M321)</f>
        <v>21500</v>
      </c>
      <c r="N322" s="13">
        <f>SUM(N319:N321)</f>
        <v>21500</v>
      </c>
      <c r="O322" s="13">
        <f>SUM(O319:O321)</f>
        <v>0</v>
      </c>
      <c r="P322" s="13">
        <f>SUM(P319:P321)</f>
        <v>21500</v>
      </c>
      <c r="Q322" s="13">
        <f t="shared" si="119"/>
        <v>1500</v>
      </c>
      <c r="R322" s="14">
        <f>Q322/L322</f>
        <v>0.075</v>
      </c>
    </row>
    <row r="323" spans="3:18" ht="12.75" hidden="1">
      <c r="C323" s="9"/>
      <c r="D323" s="9"/>
      <c r="E323" s="9"/>
      <c r="F323" s="9"/>
      <c r="G323" s="9"/>
      <c r="H323" s="9"/>
      <c r="I323" s="9"/>
      <c r="J323" s="9"/>
      <c r="K323" s="10"/>
      <c r="L323" s="10"/>
      <c r="M323" s="10"/>
      <c r="N323" s="10"/>
      <c r="O323" s="10"/>
      <c r="P323" s="10"/>
      <c r="Q323" s="10"/>
      <c r="R323" s="11"/>
    </row>
    <row r="324" spans="1:18" ht="12.75" hidden="1">
      <c r="A324" t="s">
        <v>296</v>
      </c>
      <c r="B324" t="s">
        <v>25</v>
      </c>
      <c r="C324" s="10">
        <v>500</v>
      </c>
      <c r="D324" s="10">
        <v>500</v>
      </c>
      <c r="E324" s="10">
        <v>-500</v>
      </c>
      <c r="F324" s="10">
        <f>D324+E324</f>
        <v>0</v>
      </c>
      <c r="G324" s="10"/>
      <c r="H324" s="10"/>
      <c r="I324" s="10"/>
      <c r="J324" s="10">
        <f>H324+I324</f>
        <v>0</v>
      </c>
      <c r="K324" s="10"/>
      <c r="L324" s="10"/>
      <c r="M324" s="10"/>
      <c r="N324" s="10"/>
      <c r="O324" s="10"/>
      <c r="P324" s="10"/>
      <c r="Q324" s="10">
        <f>P324-L324</f>
        <v>0</v>
      </c>
      <c r="R324" s="11" t="e">
        <f>Q324/L324</f>
        <v>#DIV/0!</v>
      </c>
    </row>
    <row r="325" spans="2:18" ht="12.75" hidden="1">
      <c r="B325" t="s">
        <v>55</v>
      </c>
      <c r="C325" s="10">
        <v>2500</v>
      </c>
      <c r="D325" s="10">
        <v>2500</v>
      </c>
      <c r="E325" s="10"/>
      <c r="F325" s="10">
        <f>D325+E325</f>
        <v>2500</v>
      </c>
      <c r="G325" s="10">
        <v>2500</v>
      </c>
      <c r="H325" s="10">
        <v>2500</v>
      </c>
      <c r="I325" s="10"/>
      <c r="J325" s="10">
        <f>H325+I325</f>
        <v>2500</v>
      </c>
      <c r="K325" s="10">
        <v>3000</v>
      </c>
      <c r="L325" s="10">
        <v>2500</v>
      </c>
      <c r="M325" s="10">
        <v>3000</v>
      </c>
      <c r="N325" s="10">
        <v>2500</v>
      </c>
      <c r="O325" s="10"/>
      <c r="P325" s="10">
        <f>N325+O325</f>
        <v>2500</v>
      </c>
      <c r="Q325" s="10">
        <f>P325-L325</f>
        <v>0</v>
      </c>
      <c r="R325" s="11">
        <f>Q325/L325</f>
        <v>0</v>
      </c>
    </row>
    <row r="326" spans="2:18" ht="12.75">
      <c r="B326" s="8" t="s">
        <v>27</v>
      </c>
      <c r="C326" s="12">
        <f aca="true" t="shared" si="120" ref="C326:Q326">SUM(C324:C325)</f>
        <v>3000</v>
      </c>
      <c r="D326" s="12">
        <f t="shared" si="120"/>
        <v>3000</v>
      </c>
      <c r="E326" s="12">
        <f t="shared" si="120"/>
        <v>-500</v>
      </c>
      <c r="F326" s="12">
        <f t="shared" si="120"/>
        <v>2500</v>
      </c>
      <c r="G326" s="12">
        <f t="shared" si="120"/>
        <v>2500</v>
      </c>
      <c r="H326" s="12">
        <f t="shared" si="120"/>
        <v>2500</v>
      </c>
      <c r="I326" s="12">
        <f t="shared" si="120"/>
        <v>0</v>
      </c>
      <c r="J326" s="12">
        <f t="shared" si="120"/>
        <v>2500</v>
      </c>
      <c r="K326" s="13">
        <f t="shared" si="120"/>
        <v>3000</v>
      </c>
      <c r="L326" s="13">
        <f>SUM(L324:L325)</f>
        <v>2500</v>
      </c>
      <c r="M326" s="13">
        <f>SUM(M324:M325)</f>
        <v>3000</v>
      </c>
      <c r="N326" s="13">
        <f>SUM(N324:N325)</f>
        <v>2500</v>
      </c>
      <c r="O326" s="13">
        <f>SUM(O324:O325)</f>
        <v>0</v>
      </c>
      <c r="P326" s="13">
        <f>SUM(P324:P325)</f>
        <v>2500</v>
      </c>
      <c r="Q326" s="13">
        <f t="shared" si="120"/>
        <v>0</v>
      </c>
      <c r="R326" s="14">
        <f>Q326/L326</f>
        <v>0</v>
      </c>
    </row>
    <row r="327" spans="3:18" ht="12.75" hidden="1">
      <c r="C327" s="9"/>
      <c r="D327" s="9"/>
      <c r="E327" s="9"/>
      <c r="F327" s="9"/>
      <c r="G327" s="9"/>
      <c r="H327" s="9"/>
      <c r="I327" s="9"/>
      <c r="J327" s="9"/>
      <c r="K327" s="10"/>
      <c r="L327" s="10"/>
      <c r="M327" s="10"/>
      <c r="N327" s="10"/>
      <c r="O327" s="10"/>
      <c r="P327" s="10"/>
      <c r="Q327" s="10"/>
      <c r="R327" s="11"/>
    </row>
    <row r="328" spans="2:18" ht="12.75" hidden="1">
      <c r="B328" t="s">
        <v>297</v>
      </c>
      <c r="C328" s="9">
        <f>57407+30000</f>
        <v>87407</v>
      </c>
      <c r="D328" s="9">
        <v>57407</v>
      </c>
      <c r="E328" s="9"/>
      <c r="F328" s="10">
        <f>D328+E328</f>
        <v>57407</v>
      </c>
      <c r="G328" s="10">
        <v>57407</v>
      </c>
      <c r="H328" s="10">
        <v>57407</v>
      </c>
      <c r="I328" s="9"/>
      <c r="J328" s="10">
        <f>H328+I328</f>
        <v>57407</v>
      </c>
      <c r="K328" s="10">
        <v>57407</v>
      </c>
      <c r="L328" s="10">
        <v>57407</v>
      </c>
      <c r="M328" s="10">
        <v>57407</v>
      </c>
      <c r="N328" s="10">
        <v>57407</v>
      </c>
      <c r="O328" s="10">
        <v>-32407</v>
      </c>
      <c r="P328" s="10">
        <f>N328+O328</f>
        <v>25000</v>
      </c>
      <c r="Q328" s="10">
        <f>P328-L328</f>
        <v>-32407</v>
      </c>
      <c r="R328" s="11">
        <f>Q328/L328</f>
        <v>-0.564513038479628</v>
      </c>
    </row>
    <row r="329" spans="2:18" ht="12.75">
      <c r="B329" s="8" t="s">
        <v>67</v>
      </c>
      <c r="C329" s="12">
        <f aca="true" t="shared" si="121" ref="C329:Q329">SUM(C328:C328)</f>
        <v>87407</v>
      </c>
      <c r="D329" s="12">
        <f t="shared" si="121"/>
        <v>57407</v>
      </c>
      <c r="E329" s="12">
        <f t="shared" si="121"/>
        <v>0</v>
      </c>
      <c r="F329" s="12">
        <f t="shared" si="121"/>
        <v>57407</v>
      </c>
      <c r="G329" s="12">
        <f t="shared" si="121"/>
        <v>57407</v>
      </c>
      <c r="H329" s="12">
        <f t="shared" si="121"/>
        <v>57407</v>
      </c>
      <c r="I329" s="12">
        <f t="shared" si="121"/>
        <v>0</v>
      </c>
      <c r="J329" s="12">
        <f t="shared" si="121"/>
        <v>57407</v>
      </c>
      <c r="K329" s="13">
        <f t="shared" si="121"/>
        <v>57407</v>
      </c>
      <c r="L329" s="13">
        <f t="shared" si="121"/>
        <v>57407</v>
      </c>
      <c r="M329" s="13">
        <f t="shared" si="121"/>
        <v>57407</v>
      </c>
      <c r="N329" s="13">
        <f t="shared" si="121"/>
        <v>57407</v>
      </c>
      <c r="O329" s="13">
        <f t="shared" si="121"/>
        <v>-32407</v>
      </c>
      <c r="P329" s="13">
        <f t="shared" si="121"/>
        <v>25000</v>
      </c>
      <c r="Q329" s="13">
        <f t="shared" si="121"/>
        <v>-32407</v>
      </c>
      <c r="R329" s="14">
        <f>Q329/L329</f>
        <v>-0.564513038479628</v>
      </c>
    </row>
    <row r="330" spans="3:18" ht="12.75" hidden="1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5"/>
    </row>
    <row r="331" spans="2:18" s="16" customFormat="1" ht="12.75">
      <c r="B331" s="17" t="s">
        <v>298</v>
      </c>
      <c r="C331" s="18">
        <f aca="true" t="shared" si="122" ref="C331:Q331">SUM(C329+C326+C322+C317+C303)</f>
        <v>1245925.94</v>
      </c>
      <c r="D331" s="18">
        <f t="shared" si="122"/>
        <v>1154261.94</v>
      </c>
      <c r="E331" s="18">
        <f t="shared" si="122"/>
        <v>-6500</v>
      </c>
      <c r="F331" s="18">
        <f t="shared" si="122"/>
        <v>1147761.94</v>
      </c>
      <c r="G331" s="18">
        <f t="shared" si="122"/>
        <v>1211471</v>
      </c>
      <c r="H331" s="18">
        <f t="shared" si="122"/>
        <v>1170076</v>
      </c>
      <c r="I331" s="18">
        <f t="shared" si="122"/>
        <v>0</v>
      </c>
      <c r="J331" s="18">
        <f t="shared" si="122"/>
        <v>1170076</v>
      </c>
      <c r="K331" s="18">
        <f t="shared" si="122"/>
        <v>1260074</v>
      </c>
      <c r="L331" s="18">
        <f t="shared" si="122"/>
        <v>1225724</v>
      </c>
      <c r="M331" s="18">
        <f>SUM(M329+M326+M322+M317+M303)</f>
        <v>1362518</v>
      </c>
      <c r="N331" s="18">
        <f>SUM(N329+N326+N322+N317+N303)</f>
        <v>1274361</v>
      </c>
      <c r="O331" s="18">
        <f>SUM(O329+O326+O322+O317+O303)</f>
        <v>-32407</v>
      </c>
      <c r="P331" s="18">
        <f>SUM(P329+P326+P322+P317+P303)</f>
        <v>1241954</v>
      </c>
      <c r="Q331" s="18">
        <f t="shared" si="122"/>
        <v>16230</v>
      </c>
      <c r="R331" s="19">
        <f>Q331/L331</f>
        <v>0.013241153799713476</v>
      </c>
    </row>
    <row r="332" spans="3:17" ht="12.75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9"/>
    </row>
    <row r="333" spans="2:18" ht="12.75">
      <c r="B333" s="8" t="s">
        <v>299</v>
      </c>
      <c r="C333" s="9"/>
      <c r="D333" s="9"/>
      <c r="E333" s="9"/>
      <c r="F333" s="9"/>
      <c r="G333" s="9"/>
      <c r="H333" s="9"/>
      <c r="I333" s="9"/>
      <c r="J333" s="9"/>
      <c r="K333" s="10"/>
      <c r="L333" s="10"/>
      <c r="M333" s="10"/>
      <c r="N333" s="10"/>
      <c r="O333" s="10"/>
      <c r="P333" s="10"/>
      <c r="Q333" s="28"/>
      <c r="R333" s="28"/>
    </row>
    <row r="334" spans="2:18" ht="12.75" hidden="1">
      <c r="B334" t="s">
        <v>300</v>
      </c>
      <c r="C334" s="10">
        <v>7500</v>
      </c>
      <c r="D334" s="10">
        <v>7500</v>
      </c>
      <c r="E334" s="10">
        <v>-7500</v>
      </c>
      <c r="F334" s="10">
        <f>D334+E334</f>
        <v>0</v>
      </c>
      <c r="G334" s="10">
        <v>7500</v>
      </c>
      <c r="H334" s="10"/>
      <c r="I334" s="10"/>
      <c r="J334" s="10">
        <f>H334+I334</f>
        <v>0</v>
      </c>
      <c r="K334" s="10"/>
      <c r="L334" s="10"/>
      <c r="M334" s="10"/>
      <c r="N334" s="10"/>
      <c r="O334" s="10"/>
      <c r="P334" s="10">
        <f>N334+O334</f>
        <v>0</v>
      </c>
      <c r="Q334" s="10">
        <f>P334-L334</f>
        <v>0</v>
      </c>
      <c r="R334" s="11" t="e">
        <f>Q334/L334</f>
        <v>#DIV/0!</v>
      </c>
    </row>
    <row r="335" spans="2:18" ht="12.75" hidden="1">
      <c r="B335" t="s">
        <v>301</v>
      </c>
      <c r="C335" s="10">
        <v>1800</v>
      </c>
      <c r="D335" s="10">
        <v>1800</v>
      </c>
      <c r="E335" s="10"/>
      <c r="F335" s="10">
        <f>D335+E335</f>
        <v>1800</v>
      </c>
      <c r="G335" s="10">
        <v>1800</v>
      </c>
      <c r="H335" s="10">
        <v>1800</v>
      </c>
      <c r="I335" s="10"/>
      <c r="J335" s="10">
        <f>H335+I335</f>
        <v>1800</v>
      </c>
      <c r="K335" s="10">
        <v>1800</v>
      </c>
      <c r="L335" s="10">
        <v>1800</v>
      </c>
      <c r="M335" s="10">
        <v>1800</v>
      </c>
      <c r="N335" s="10">
        <v>1800</v>
      </c>
      <c r="O335" s="10"/>
      <c r="P335" s="10">
        <f>N335+O335</f>
        <v>1800</v>
      </c>
      <c r="Q335" s="10">
        <f>P335-L335</f>
        <v>0</v>
      </c>
      <c r="R335" s="11">
        <f>Q335/L335</f>
        <v>0</v>
      </c>
    </row>
    <row r="336" spans="2:18" ht="12.75">
      <c r="B336" s="8" t="s">
        <v>20</v>
      </c>
      <c r="C336" s="12">
        <f aca="true" t="shared" si="123" ref="C336:Q336">SUM(C334:C335)</f>
        <v>9300</v>
      </c>
      <c r="D336" s="12">
        <f t="shared" si="123"/>
        <v>9300</v>
      </c>
      <c r="E336" s="12">
        <f t="shared" si="123"/>
        <v>-7500</v>
      </c>
      <c r="F336" s="12">
        <f t="shared" si="123"/>
        <v>1800</v>
      </c>
      <c r="G336" s="12">
        <f t="shared" si="123"/>
        <v>9300</v>
      </c>
      <c r="H336" s="12">
        <f t="shared" si="123"/>
        <v>1800</v>
      </c>
      <c r="I336" s="12">
        <f t="shared" si="123"/>
        <v>0</v>
      </c>
      <c r="J336" s="12">
        <f t="shared" si="123"/>
        <v>1800</v>
      </c>
      <c r="K336" s="13">
        <f t="shared" si="123"/>
        <v>1800</v>
      </c>
      <c r="L336" s="13">
        <f t="shared" si="123"/>
        <v>1800</v>
      </c>
      <c r="M336" s="13">
        <f>SUM(M334:M335)</f>
        <v>1800</v>
      </c>
      <c r="N336" s="13">
        <f>SUM(N334:N335)</f>
        <v>1800</v>
      </c>
      <c r="O336" s="13">
        <f>SUM(O334:O335)</f>
        <v>0</v>
      </c>
      <c r="P336" s="13">
        <f>SUM(P334:P335)</f>
        <v>1800</v>
      </c>
      <c r="Q336" s="13">
        <f t="shared" si="123"/>
        <v>0</v>
      </c>
      <c r="R336" s="14">
        <f>Q336/L336</f>
        <v>0</v>
      </c>
    </row>
    <row r="337" spans="3:18" ht="12.75" hidden="1">
      <c r="C337" s="9"/>
      <c r="D337" s="9"/>
      <c r="E337" s="9"/>
      <c r="F337" s="9"/>
      <c r="G337" s="9"/>
      <c r="H337" s="9"/>
      <c r="I337" s="9"/>
      <c r="J337" s="9"/>
      <c r="K337" s="10"/>
      <c r="L337" s="10"/>
      <c r="M337" s="10"/>
      <c r="N337" s="10"/>
      <c r="O337" s="10"/>
      <c r="P337" s="10"/>
      <c r="Q337" s="10"/>
      <c r="R337" s="11"/>
    </row>
    <row r="338" spans="2:18" ht="12.75" hidden="1">
      <c r="B338" t="s">
        <v>58</v>
      </c>
      <c r="C338" s="10">
        <v>600</v>
      </c>
      <c r="D338" s="10">
        <v>600</v>
      </c>
      <c r="E338" s="10"/>
      <c r="F338" s="10">
        <f>D338+E338</f>
        <v>600</v>
      </c>
      <c r="G338" s="10">
        <v>600</v>
      </c>
      <c r="H338" s="10">
        <v>600</v>
      </c>
      <c r="I338" s="10"/>
      <c r="J338" s="10">
        <f>H338+I338</f>
        <v>600</v>
      </c>
      <c r="K338" s="10">
        <v>600</v>
      </c>
      <c r="L338" s="10">
        <v>600</v>
      </c>
      <c r="M338" s="10">
        <v>600</v>
      </c>
      <c r="N338" s="10">
        <v>600</v>
      </c>
      <c r="O338" s="10"/>
      <c r="P338" s="10">
        <f>N338+O338</f>
        <v>600</v>
      </c>
      <c r="Q338" s="10">
        <f>P338-L338</f>
        <v>0</v>
      </c>
      <c r="R338" s="11">
        <f>Q338/L338</f>
        <v>0</v>
      </c>
    </row>
    <row r="339" spans="2:18" ht="12.75" hidden="1">
      <c r="B339" s="20" t="s">
        <v>302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>
        <v>1600</v>
      </c>
      <c r="O339" s="10"/>
      <c r="P339" s="10">
        <f>N339+O339</f>
        <v>1600</v>
      </c>
      <c r="Q339" s="10">
        <f>P339-L339</f>
        <v>1600</v>
      </c>
      <c r="R339" s="11" t="e">
        <f>Q339/L339</f>
        <v>#DIV/0!</v>
      </c>
    </row>
    <row r="340" spans="2:18" ht="12.75">
      <c r="B340" s="8" t="s">
        <v>23</v>
      </c>
      <c r="C340" s="12">
        <f aca="true" t="shared" si="124" ref="C340:J340">SUM(C338)</f>
        <v>600</v>
      </c>
      <c r="D340" s="12">
        <f t="shared" si="124"/>
        <v>600</v>
      </c>
      <c r="E340" s="12">
        <f t="shared" si="124"/>
        <v>0</v>
      </c>
      <c r="F340" s="12">
        <f t="shared" si="124"/>
        <v>600</v>
      </c>
      <c r="G340" s="12">
        <f t="shared" si="124"/>
        <v>600</v>
      </c>
      <c r="H340" s="12">
        <f t="shared" si="124"/>
        <v>600</v>
      </c>
      <c r="I340" s="12">
        <f t="shared" si="124"/>
        <v>0</v>
      </c>
      <c r="J340" s="12">
        <f t="shared" si="124"/>
        <v>600</v>
      </c>
      <c r="K340" s="13">
        <f aca="true" t="shared" si="125" ref="K340:Q340">SUM(K338:K339)</f>
        <v>600</v>
      </c>
      <c r="L340" s="13">
        <f t="shared" si="125"/>
        <v>600</v>
      </c>
      <c r="M340" s="13">
        <f t="shared" si="125"/>
        <v>600</v>
      </c>
      <c r="N340" s="13">
        <f t="shared" si="125"/>
        <v>2200</v>
      </c>
      <c r="O340" s="13">
        <f t="shared" si="125"/>
        <v>0</v>
      </c>
      <c r="P340" s="13">
        <f t="shared" si="125"/>
        <v>2200</v>
      </c>
      <c r="Q340" s="13">
        <f t="shared" si="125"/>
        <v>1600</v>
      </c>
      <c r="R340" s="14">
        <f>Q340/L340</f>
        <v>2.6666666666666665</v>
      </c>
    </row>
    <row r="341" spans="3:18" ht="12.75" hidden="1">
      <c r="C341" s="9"/>
      <c r="D341" s="9"/>
      <c r="E341" s="9"/>
      <c r="F341" s="9"/>
      <c r="G341" s="9"/>
      <c r="H341" s="9"/>
      <c r="I341" s="9"/>
      <c r="J341" s="9"/>
      <c r="K341" s="10"/>
      <c r="L341" s="10"/>
      <c r="M341" s="10"/>
      <c r="N341" s="10"/>
      <c r="O341" s="10"/>
      <c r="P341" s="10"/>
      <c r="Q341" s="10"/>
      <c r="R341" s="11"/>
    </row>
    <row r="342" spans="2:18" ht="12.75" hidden="1">
      <c r="B342" t="s">
        <v>52</v>
      </c>
      <c r="C342" s="10">
        <v>450</v>
      </c>
      <c r="D342" s="10">
        <v>350</v>
      </c>
      <c r="E342" s="10"/>
      <c r="F342" s="10">
        <f>D342+E342</f>
        <v>350</v>
      </c>
      <c r="G342" s="10">
        <v>350</v>
      </c>
      <c r="H342" s="10">
        <v>350</v>
      </c>
      <c r="I342" s="10"/>
      <c r="J342" s="10">
        <f>H342+I342</f>
        <v>350</v>
      </c>
      <c r="K342" s="10">
        <v>350</v>
      </c>
      <c r="L342" s="10">
        <v>350</v>
      </c>
      <c r="M342" s="10">
        <v>350</v>
      </c>
      <c r="N342" s="10">
        <v>350</v>
      </c>
      <c r="O342" s="10"/>
      <c r="P342" s="10">
        <f>N342+O342</f>
        <v>350</v>
      </c>
      <c r="Q342" s="10">
        <f>P342-L342</f>
        <v>0</v>
      </c>
      <c r="R342" s="11">
        <f>Q342/L342</f>
        <v>0</v>
      </c>
    </row>
    <row r="343" spans="2:18" ht="12.75" hidden="1">
      <c r="B343" t="s">
        <v>303</v>
      </c>
      <c r="C343" s="10">
        <v>1000</v>
      </c>
      <c r="D343" s="10">
        <v>750</v>
      </c>
      <c r="E343" s="10"/>
      <c r="F343" s="10">
        <f>D343+E343</f>
        <v>750</v>
      </c>
      <c r="G343" s="10">
        <v>750</v>
      </c>
      <c r="H343" s="10">
        <v>750</v>
      </c>
      <c r="I343" s="10"/>
      <c r="J343" s="10">
        <f>H343+I343</f>
        <v>750</v>
      </c>
      <c r="K343" s="10">
        <v>750</v>
      </c>
      <c r="L343" s="10">
        <v>750</v>
      </c>
      <c r="M343" s="10">
        <v>750</v>
      </c>
      <c r="N343" s="10">
        <v>750</v>
      </c>
      <c r="O343" s="10"/>
      <c r="P343" s="10">
        <f>N343+O343</f>
        <v>750</v>
      </c>
      <c r="Q343" s="10">
        <f>P343-L343</f>
        <v>0</v>
      </c>
      <c r="R343" s="11">
        <f>Q343/L343</f>
        <v>0</v>
      </c>
    </row>
    <row r="344" spans="2:18" ht="12.75" hidden="1">
      <c r="B344" s="20" t="s">
        <v>304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>
        <v>1000</v>
      </c>
      <c r="O344" s="10"/>
      <c r="P344" s="10">
        <f>N344+O344</f>
        <v>1000</v>
      </c>
      <c r="Q344" s="10">
        <f>P344-L344</f>
        <v>1000</v>
      </c>
      <c r="R344" s="11" t="e">
        <f>Q344/L344</f>
        <v>#DIV/0!</v>
      </c>
    </row>
    <row r="345" spans="2:18" ht="12.75" hidden="1">
      <c r="B345" t="s">
        <v>107</v>
      </c>
      <c r="C345" s="10">
        <v>500</v>
      </c>
      <c r="D345" s="10">
        <v>500</v>
      </c>
      <c r="E345" s="10"/>
      <c r="F345" s="10">
        <f>D345+E345</f>
        <v>500</v>
      </c>
      <c r="G345" s="10">
        <v>500</v>
      </c>
      <c r="H345" s="10">
        <v>500</v>
      </c>
      <c r="I345" s="10"/>
      <c r="J345" s="10">
        <f>H345+I345</f>
        <v>500</v>
      </c>
      <c r="K345" s="10">
        <v>500</v>
      </c>
      <c r="L345" s="10">
        <v>500</v>
      </c>
      <c r="M345" s="10">
        <v>500</v>
      </c>
      <c r="N345" s="10">
        <v>500</v>
      </c>
      <c r="O345" s="10"/>
      <c r="P345" s="10">
        <f>N345+O345</f>
        <v>500</v>
      </c>
      <c r="Q345" s="10">
        <f>P345-L345</f>
        <v>0</v>
      </c>
      <c r="R345" s="11">
        <f>Q345/L345</f>
        <v>0</v>
      </c>
    </row>
    <row r="346" spans="2:18" ht="12.75">
      <c r="B346" s="8" t="s">
        <v>53</v>
      </c>
      <c r="C346" s="12">
        <f aca="true" t="shared" si="126" ref="C346:Q346">SUM(C342:C345)</f>
        <v>1950</v>
      </c>
      <c r="D346" s="12">
        <f t="shared" si="126"/>
        <v>1600</v>
      </c>
      <c r="E346" s="12">
        <f t="shared" si="126"/>
        <v>0</v>
      </c>
      <c r="F346" s="12">
        <f t="shared" si="126"/>
        <v>1600</v>
      </c>
      <c r="G346" s="12">
        <f t="shared" si="126"/>
        <v>1600</v>
      </c>
      <c r="H346" s="12">
        <f t="shared" si="126"/>
        <v>1600</v>
      </c>
      <c r="I346" s="12">
        <f t="shared" si="126"/>
        <v>0</v>
      </c>
      <c r="J346" s="12">
        <f t="shared" si="126"/>
        <v>1600</v>
      </c>
      <c r="K346" s="13">
        <f t="shared" si="126"/>
        <v>1600</v>
      </c>
      <c r="L346" s="13">
        <f t="shared" si="126"/>
        <v>1600</v>
      </c>
      <c r="M346" s="13">
        <f t="shared" si="126"/>
        <v>1600</v>
      </c>
      <c r="N346" s="13">
        <f t="shared" si="126"/>
        <v>2600</v>
      </c>
      <c r="O346" s="13">
        <f t="shared" si="126"/>
        <v>0</v>
      </c>
      <c r="P346" s="13">
        <f t="shared" si="126"/>
        <v>2600</v>
      </c>
      <c r="Q346" s="13">
        <f t="shared" si="126"/>
        <v>1000</v>
      </c>
      <c r="R346" s="14">
        <f>Q346/L346</f>
        <v>0.625</v>
      </c>
    </row>
    <row r="347" spans="3:18" ht="12.75" hidden="1">
      <c r="C347" s="9"/>
      <c r="D347" s="9"/>
      <c r="E347" s="9"/>
      <c r="F347" s="9"/>
      <c r="G347" s="9"/>
      <c r="H347" s="9"/>
      <c r="I347" s="9"/>
      <c r="J347" s="9"/>
      <c r="K347" s="10"/>
      <c r="L347" s="10"/>
      <c r="M347" s="10"/>
      <c r="N347" s="10"/>
      <c r="O347" s="10"/>
      <c r="P347" s="10"/>
      <c r="Q347" s="10"/>
      <c r="R347" s="11"/>
    </row>
    <row r="348" spans="2:18" ht="12.75" hidden="1">
      <c r="B348" t="s">
        <v>297</v>
      </c>
      <c r="C348" s="24"/>
      <c r="D348" s="10"/>
      <c r="E348" s="10"/>
      <c r="F348" s="10">
        <f>D348+E348</f>
        <v>0</v>
      </c>
      <c r="G348" s="10"/>
      <c r="H348" s="10"/>
      <c r="I348" s="10"/>
      <c r="J348" s="10">
        <f>H348+I348</f>
        <v>0</v>
      </c>
      <c r="K348" s="10"/>
      <c r="L348" s="10"/>
      <c r="M348" s="10"/>
      <c r="N348" s="10"/>
      <c r="O348" s="10"/>
      <c r="P348" s="10">
        <f>N348+O348</f>
        <v>0</v>
      </c>
      <c r="Q348" s="10">
        <f>P348-L348</f>
        <v>0</v>
      </c>
      <c r="R348" s="11" t="e">
        <f>Q348/L348</f>
        <v>#DIV/0!</v>
      </c>
    </row>
    <row r="349" spans="2:18" ht="12.75">
      <c r="B349" s="8" t="s">
        <v>305</v>
      </c>
      <c r="C349" s="25">
        <f aca="true" t="shared" si="127" ref="C349:Q349">SUM(C348)</f>
        <v>0</v>
      </c>
      <c r="D349" s="12">
        <f t="shared" si="127"/>
        <v>0</v>
      </c>
      <c r="E349" s="12">
        <f t="shared" si="127"/>
        <v>0</v>
      </c>
      <c r="F349" s="12">
        <f t="shared" si="127"/>
        <v>0</v>
      </c>
      <c r="G349" s="12">
        <f t="shared" si="127"/>
        <v>0</v>
      </c>
      <c r="H349" s="12">
        <f t="shared" si="127"/>
        <v>0</v>
      </c>
      <c r="I349" s="12">
        <f t="shared" si="127"/>
        <v>0</v>
      </c>
      <c r="J349" s="12">
        <f t="shared" si="127"/>
        <v>0</v>
      </c>
      <c r="K349" s="13">
        <f t="shared" si="127"/>
        <v>0</v>
      </c>
      <c r="L349" s="13">
        <f t="shared" si="127"/>
        <v>0</v>
      </c>
      <c r="M349" s="13">
        <f>SUM(M348)</f>
        <v>0</v>
      </c>
      <c r="N349" s="13">
        <f>SUM(N348)</f>
        <v>0</v>
      </c>
      <c r="O349" s="13">
        <f>SUM(O348)</f>
        <v>0</v>
      </c>
      <c r="P349" s="13">
        <f>SUM(P348)</f>
        <v>0</v>
      </c>
      <c r="Q349" s="13">
        <f t="shared" si="127"/>
        <v>0</v>
      </c>
      <c r="R349" s="14" t="e">
        <f>Q349/L349</f>
        <v>#DIV/0!</v>
      </c>
    </row>
    <row r="350" spans="3:18" ht="12.75" hidden="1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5"/>
    </row>
    <row r="351" spans="2:18" ht="12.75">
      <c r="B351" s="17" t="s">
        <v>306</v>
      </c>
      <c r="C351" s="18">
        <f aca="true" t="shared" si="128" ref="C351:Q351">SUM(C349+C346+C340+C336)</f>
        <v>11850</v>
      </c>
      <c r="D351" s="18">
        <f t="shared" si="128"/>
        <v>11500</v>
      </c>
      <c r="E351" s="18">
        <f t="shared" si="128"/>
        <v>-7500</v>
      </c>
      <c r="F351" s="18">
        <f t="shared" si="128"/>
        <v>4000</v>
      </c>
      <c r="G351" s="18">
        <f t="shared" si="128"/>
        <v>11500</v>
      </c>
      <c r="H351" s="18">
        <f t="shared" si="128"/>
        <v>4000</v>
      </c>
      <c r="I351" s="18">
        <f t="shared" si="128"/>
        <v>0</v>
      </c>
      <c r="J351" s="18">
        <f t="shared" si="128"/>
        <v>4000</v>
      </c>
      <c r="K351" s="18">
        <f t="shared" si="128"/>
        <v>4000</v>
      </c>
      <c r="L351" s="18">
        <f t="shared" si="128"/>
        <v>4000</v>
      </c>
      <c r="M351" s="18">
        <f>SUM(M349+M346+M340+M336)</f>
        <v>4000</v>
      </c>
      <c r="N351" s="18">
        <f>SUM(N349+N346+N340+N336)</f>
        <v>6600</v>
      </c>
      <c r="O351" s="18">
        <f>SUM(O349+O346+O340+O336)</f>
        <v>0</v>
      </c>
      <c r="P351" s="18">
        <f>SUM(P349+P346+P340+P336)</f>
        <v>6600</v>
      </c>
      <c r="Q351" s="18">
        <f t="shared" si="128"/>
        <v>2600</v>
      </c>
      <c r="R351" s="19">
        <f>Q351/L351</f>
        <v>0.65</v>
      </c>
    </row>
    <row r="352" spans="3:17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9"/>
    </row>
    <row r="353" spans="3:16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8" ht="12.75">
      <c r="B354" s="8" t="s">
        <v>307</v>
      </c>
      <c r="C354" s="9"/>
      <c r="D354" s="9"/>
      <c r="E354" s="9"/>
      <c r="F354" s="9"/>
      <c r="G354" s="9"/>
      <c r="H354" s="9"/>
      <c r="I354" s="9"/>
      <c r="J354" s="9"/>
      <c r="K354" s="10"/>
      <c r="L354" s="10"/>
      <c r="M354" s="10"/>
      <c r="N354" s="10"/>
      <c r="O354" s="10"/>
      <c r="P354" s="10"/>
      <c r="Q354" s="28"/>
      <c r="R354" s="28"/>
    </row>
    <row r="355" spans="1:18" ht="12.75" hidden="1">
      <c r="A355" t="s">
        <v>308</v>
      </c>
      <c r="B355" t="s">
        <v>309</v>
      </c>
      <c r="C355" s="9">
        <v>28000</v>
      </c>
      <c r="D355" s="9">
        <v>32760</v>
      </c>
      <c r="E355" s="9">
        <v>15470</v>
      </c>
      <c r="F355" s="10">
        <f aca="true" t="shared" si="129" ref="F355:F366">D355+E355</f>
        <v>48230</v>
      </c>
      <c r="G355" s="10">
        <v>68250</v>
      </c>
      <c r="H355" s="10">
        <v>68250</v>
      </c>
      <c r="I355" s="9"/>
      <c r="J355" s="10">
        <f aca="true" t="shared" si="130" ref="J355:J367">H355+I355</f>
        <v>68250</v>
      </c>
      <c r="K355" s="31">
        <v>72405</v>
      </c>
      <c r="L355" s="31">
        <v>72405</v>
      </c>
      <c r="M355" s="31">
        <v>72405</v>
      </c>
      <c r="N355" s="31">
        <v>72405</v>
      </c>
      <c r="O355" s="31"/>
      <c r="P355" s="10">
        <f aca="true" t="shared" si="131" ref="P355:P367">N355+O355</f>
        <v>72405</v>
      </c>
      <c r="Q355" s="10">
        <f aca="true" t="shared" si="132" ref="Q355:Q367">P355-L355</f>
        <v>0</v>
      </c>
      <c r="R355" s="11">
        <f aca="true" t="shared" si="133" ref="R355:R367">Q355/L355</f>
        <v>0</v>
      </c>
    </row>
    <row r="356" spans="1:18" ht="12.75" hidden="1">
      <c r="A356" t="s">
        <v>310</v>
      </c>
      <c r="B356" t="s">
        <v>311</v>
      </c>
      <c r="C356" s="9" t="e">
        <f>#REF!*1.03</f>
        <v>#REF!</v>
      </c>
      <c r="D356" s="9"/>
      <c r="E356" s="9"/>
      <c r="F356" s="10">
        <f t="shared" si="129"/>
        <v>0</v>
      </c>
      <c r="G356" s="10"/>
      <c r="H356" s="10"/>
      <c r="I356" s="9"/>
      <c r="J356" s="10">
        <f t="shared" si="130"/>
        <v>0</v>
      </c>
      <c r="K356" s="10"/>
      <c r="L356" s="10"/>
      <c r="M356" s="10"/>
      <c r="N356" s="10"/>
      <c r="O356" s="10"/>
      <c r="P356" s="10">
        <f t="shared" si="131"/>
        <v>0</v>
      </c>
      <c r="Q356" s="10">
        <f t="shared" si="132"/>
        <v>0</v>
      </c>
      <c r="R356" s="11" t="e">
        <f t="shared" si="133"/>
        <v>#DIV/0!</v>
      </c>
    </row>
    <row r="357" spans="2:18" ht="12.75" hidden="1">
      <c r="B357" s="28" t="s">
        <v>312</v>
      </c>
      <c r="C357" s="9" t="e">
        <f>#REF!*1.03</f>
        <v>#REF!</v>
      </c>
      <c r="D357" s="9"/>
      <c r="E357" s="9"/>
      <c r="F357" s="10">
        <f t="shared" si="129"/>
        <v>0</v>
      </c>
      <c r="G357" s="10"/>
      <c r="H357" s="10"/>
      <c r="I357" s="9"/>
      <c r="J357" s="10">
        <f t="shared" si="130"/>
        <v>0</v>
      </c>
      <c r="K357" s="10"/>
      <c r="L357" s="10"/>
      <c r="M357" s="10"/>
      <c r="N357" s="10"/>
      <c r="O357" s="10"/>
      <c r="P357" s="10">
        <f t="shared" si="131"/>
        <v>0</v>
      </c>
      <c r="Q357" s="10">
        <f t="shared" si="132"/>
        <v>0</v>
      </c>
      <c r="R357" s="11" t="e">
        <f t="shared" si="133"/>
        <v>#DIV/0!</v>
      </c>
    </row>
    <row r="358" spans="1:18" ht="12.75" hidden="1">
      <c r="A358" t="s">
        <v>313</v>
      </c>
      <c r="B358" t="s">
        <v>314</v>
      </c>
      <c r="C358" s="9" t="e">
        <f>#REF!*1.03</f>
        <v>#REF!</v>
      </c>
      <c r="D358" s="9"/>
      <c r="E358" s="9"/>
      <c r="F358" s="10">
        <f t="shared" si="129"/>
        <v>0</v>
      </c>
      <c r="G358" s="10"/>
      <c r="H358" s="10"/>
      <c r="I358" s="9"/>
      <c r="J358" s="10">
        <f t="shared" si="130"/>
        <v>0</v>
      </c>
      <c r="K358" s="10"/>
      <c r="L358" s="10"/>
      <c r="M358" s="10"/>
      <c r="N358" s="10"/>
      <c r="O358" s="10"/>
      <c r="P358" s="10">
        <f t="shared" si="131"/>
        <v>0</v>
      </c>
      <c r="Q358" s="10">
        <f t="shared" si="132"/>
        <v>0</v>
      </c>
      <c r="R358" s="11" t="e">
        <f t="shared" si="133"/>
        <v>#DIV/0!</v>
      </c>
    </row>
    <row r="359" spans="2:18" ht="12.75" hidden="1">
      <c r="B359" t="s">
        <v>315</v>
      </c>
      <c r="C359" s="9" t="e">
        <f>#REF!*1.03</f>
        <v>#REF!</v>
      </c>
      <c r="D359" s="9"/>
      <c r="E359" s="9"/>
      <c r="F359" s="10">
        <f t="shared" si="129"/>
        <v>0</v>
      </c>
      <c r="G359" s="10"/>
      <c r="H359" s="10"/>
      <c r="I359" s="9"/>
      <c r="J359" s="10">
        <f t="shared" si="130"/>
        <v>0</v>
      </c>
      <c r="K359" s="10"/>
      <c r="L359" s="10"/>
      <c r="M359" s="10"/>
      <c r="N359" s="10"/>
      <c r="O359" s="10"/>
      <c r="P359" s="10">
        <f t="shared" si="131"/>
        <v>0</v>
      </c>
      <c r="Q359" s="10">
        <f t="shared" si="132"/>
        <v>0</v>
      </c>
      <c r="R359" s="11" t="e">
        <f t="shared" si="133"/>
        <v>#DIV/0!</v>
      </c>
    </row>
    <row r="360" spans="1:18" ht="12.75" hidden="1">
      <c r="A360" t="s">
        <v>316</v>
      </c>
      <c r="B360" t="s">
        <v>317</v>
      </c>
      <c r="C360" s="9" t="e">
        <f>#REF!*1.03</f>
        <v>#REF!</v>
      </c>
      <c r="D360" s="9"/>
      <c r="E360" s="9"/>
      <c r="F360" s="10">
        <f t="shared" si="129"/>
        <v>0</v>
      </c>
      <c r="G360" s="10"/>
      <c r="H360" s="10"/>
      <c r="I360" s="9"/>
      <c r="J360" s="10">
        <f t="shared" si="130"/>
        <v>0</v>
      </c>
      <c r="K360" s="10"/>
      <c r="L360" s="10"/>
      <c r="M360" s="10"/>
      <c r="N360" s="10"/>
      <c r="O360" s="10"/>
      <c r="P360" s="10">
        <f t="shared" si="131"/>
        <v>0</v>
      </c>
      <c r="Q360" s="10">
        <f t="shared" si="132"/>
        <v>0</v>
      </c>
      <c r="R360" s="11" t="e">
        <f t="shared" si="133"/>
        <v>#DIV/0!</v>
      </c>
    </row>
    <row r="361" spans="2:18" ht="12.75" hidden="1">
      <c r="B361" s="28" t="s">
        <v>318</v>
      </c>
      <c r="C361" s="9" t="e">
        <f>#REF!*1.03</f>
        <v>#REF!</v>
      </c>
      <c r="D361" s="9"/>
      <c r="E361" s="9"/>
      <c r="F361" s="10">
        <f t="shared" si="129"/>
        <v>0</v>
      </c>
      <c r="G361" s="10"/>
      <c r="H361" s="10"/>
      <c r="I361" s="9"/>
      <c r="J361" s="10">
        <f t="shared" si="130"/>
        <v>0</v>
      </c>
      <c r="K361" s="10"/>
      <c r="L361" s="10"/>
      <c r="M361" s="10"/>
      <c r="N361" s="10"/>
      <c r="O361" s="10"/>
      <c r="P361" s="10">
        <f t="shared" si="131"/>
        <v>0</v>
      </c>
      <c r="Q361" s="10">
        <f t="shared" si="132"/>
        <v>0</v>
      </c>
      <c r="R361" s="11" t="e">
        <f t="shared" si="133"/>
        <v>#DIV/0!</v>
      </c>
    </row>
    <row r="362" spans="2:18" ht="12.75" hidden="1">
      <c r="B362" t="s">
        <v>319</v>
      </c>
      <c r="C362" s="9">
        <v>1500</v>
      </c>
      <c r="D362" s="9">
        <v>1500</v>
      </c>
      <c r="E362" s="9"/>
      <c r="F362" s="10">
        <f t="shared" si="129"/>
        <v>1500</v>
      </c>
      <c r="G362" s="10">
        <v>1500</v>
      </c>
      <c r="H362" s="10">
        <v>1500</v>
      </c>
      <c r="I362" s="9"/>
      <c r="J362" s="10">
        <f t="shared" si="130"/>
        <v>1500</v>
      </c>
      <c r="K362" s="10">
        <v>1500</v>
      </c>
      <c r="L362" s="10">
        <v>1500</v>
      </c>
      <c r="M362" s="10">
        <v>1500</v>
      </c>
      <c r="N362" s="10">
        <v>1500</v>
      </c>
      <c r="O362" s="10"/>
      <c r="P362" s="10">
        <f t="shared" si="131"/>
        <v>1500</v>
      </c>
      <c r="Q362" s="10">
        <f t="shared" si="132"/>
        <v>0</v>
      </c>
      <c r="R362" s="11">
        <f t="shared" si="133"/>
        <v>0</v>
      </c>
    </row>
    <row r="363" spans="2:19" ht="12.75" hidden="1">
      <c r="B363" t="s">
        <v>320</v>
      </c>
      <c r="C363" s="9">
        <v>25350</v>
      </c>
      <c r="D363" s="9">
        <v>39130</v>
      </c>
      <c r="E363" s="9"/>
      <c r="F363" s="10">
        <f t="shared" si="129"/>
        <v>39130</v>
      </c>
      <c r="G363" s="10">
        <v>39130</v>
      </c>
      <c r="H363" s="10">
        <v>39130</v>
      </c>
      <c r="I363" s="9"/>
      <c r="J363" s="10">
        <f t="shared" si="130"/>
        <v>39130</v>
      </c>
      <c r="K363" s="10">
        <v>41512</v>
      </c>
      <c r="L363" s="10">
        <v>41512</v>
      </c>
      <c r="M363" s="10">
        <v>41512</v>
      </c>
      <c r="N363" s="10">
        <v>41512</v>
      </c>
      <c r="O363" s="10"/>
      <c r="P363" s="10">
        <f t="shared" si="131"/>
        <v>41512</v>
      </c>
      <c r="Q363" s="10">
        <f t="shared" si="132"/>
        <v>0</v>
      </c>
      <c r="R363" s="11">
        <f t="shared" si="133"/>
        <v>0</v>
      </c>
      <c r="S363" s="9"/>
    </row>
    <row r="364" spans="2:18" ht="12.75" hidden="1">
      <c r="B364" t="s">
        <v>321</v>
      </c>
      <c r="C364" s="10">
        <v>4500</v>
      </c>
      <c r="D364" s="10">
        <v>4500</v>
      </c>
      <c r="E364" s="10"/>
      <c r="F364" s="10">
        <f t="shared" si="129"/>
        <v>4500</v>
      </c>
      <c r="G364" s="31">
        <v>4500</v>
      </c>
      <c r="H364" s="31">
        <v>2000</v>
      </c>
      <c r="I364" s="10"/>
      <c r="J364" s="10">
        <f t="shared" si="130"/>
        <v>2000</v>
      </c>
      <c r="K364" s="31">
        <v>2000</v>
      </c>
      <c r="L364" s="31">
        <v>2000</v>
      </c>
      <c r="M364" s="31">
        <v>3000</v>
      </c>
      <c r="N364" s="31">
        <v>3000</v>
      </c>
      <c r="O364" s="31"/>
      <c r="P364" s="10">
        <f t="shared" si="131"/>
        <v>3000</v>
      </c>
      <c r="Q364" s="10">
        <f t="shared" si="132"/>
        <v>1000</v>
      </c>
      <c r="R364" s="11">
        <f t="shared" si="133"/>
        <v>0.5</v>
      </c>
    </row>
    <row r="365" spans="2:18" ht="12.75" hidden="1">
      <c r="B365" t="s">
        <v>76</v>
      </c>
      <c r="C365" s="10">
        <v>1000</v>
      </c>
      <c r="D365" s="10">
        <v>1000</v>
      </c>
      <c r="E365" s="10"/>
      <c r="F365" s="10">
        <f t="shared" si="129"/>
        <v>1000</v>
      </c>
      <c r="G365" s="10">
        <v>1000</v>
      </c>
      <c r="H365" s="10">
        <v>1000</v>
      </c>
      <c r="I365" s="10"/>
      <c r="J365" s="10">
        <f t="shared" si="130"/>
        <v>1000</v>
      </c>
      <c r="K365" s="10">
        <v>1000</v>
      </c>
      <c r="L365" s="10">
        <v>1000</v>
      </c>
      <c r="M365" s="10">
        <v>1000</v>
      </c>
      <c r="N365" s="10">
        <v>1000</v>
      </c>
      <c r="O365" s="10"/>
      <c r="P365" s="10">
        <f t="shared" si="131"/>
        <v>1000</v>
      </c>
      <c r="Q365" s="10">
        <f t="shared" si="132"/>
        <v>0</v>
      </c>
      <c r="R365" s="11">
        <f t="shared" si="133"/>
        <v>0</v>
      </c>
    </row>
    <row r="366" spans="2:18" ht="12.75" hidden="1">
      <c r="B366" t="s">
        <v>39</v>
      </c>
      <c r="C366" s="24">
        <v>0</v>
      </c>
      <c r="D366" s="10">
        <v>0</v>
      </c>
      <c r="E366" s="10"/>
      <c r="F366" s="10">
        <f t="shared" si="129"/>
        <v>0</v>
      </c>
      <c r="G366" s="10">
        <v>1000</v>
      </c>
      <c r="H366" s="10">
        <v>1000</v>
      </c>
      <c r="I366" s="10"/>
      <c r="J366" s="10">
        <f t="shared" si="130"/>
        <v>1000</v>
      </c>
      <c r="K366" s="10">
        <v>1200</v>
      </c>
      <c r="L366" s="10">
        <v>1200</v>
      </c>
      <c r="M366" s="10">
        <v>1200</v>
      </c>
      <c r="N366" s="10">
        <v>1200</v>
      </c>
      <c r="O366" s="10"/>
      <c r="P366" s="10">
        <f t="shared" si="131"/>
        <v>1200</v>
      </c>
      <c r="Q366" s="10">
        <f t="shared" si="132"/>
        <v>0</v>
      </c>
      <c r="R366" s="11">
        <f t="shared" si="133"/>
        <v>0</v>
      </c>
    </row>
    <row r="367" spans="2:18" ht="12.75" hidden="1">
      <c r="B367" t="s">
        <v>77</v>
      </c>
      <c r="C367" s="10"/>
      <c r="D367" s="10"/>
      <c r="E367" s="10"/>
      <c r="F367" s="10"/>
      <c r="G367" s="10">
        <v>1000</v>
      </c>
      <c r="H367" s="10">
        <v>1000</v>
      </c>
      <c r="I367" s="10"/>
      <c r="J367" s="10">
        <f t="shared" si="130"/>
        <v>1000</v>
      </c>
      <c r="K367" s="31">
        <v>1000</v>
      </c>
      <c r="L367" s="10">
        <v>1000</v>
      </c>
      <c r="M367" s="10">
        <v>1000</v>
      </c>
      <c r="N367" s="10">
        <v>1000</v>
      </c>
      <c r="O367" s="10"/>
      <c r="P367" s="10">
        <f t="shared" si="131"/>
        <v>1000</v>
      </c>
      <c r="Q367" s="10">
        <f t="shared" si="132"/>
        <v>0</v>
      </c>
      <c r="R367" s="11">
        <f t="shared" si="133"/>
        <v>0</v>
      </c>
    </row>
    <row r="368" spans="2:18" ht="12.75">
      <c r="B368" s="8" t="s">
        <v>20</v>
      </c>
      <c r="C368" s="12" t="e">
        <f aca="true" t="shared" si="134" ref="C368:Q368">SUM(C355:C367)</f>
        <v>#REF!</v>
      </c>
      <c r="D368" s="12">
        <f t="shared" si="134"/>
        <v>78890</v>
      </c>
      <c r="E368" s="12">
        <f t="shared" si="134"/>
        <v>15470</v>
      </c>
      <c r="F368" s="12">
        <f t="shared" si="134"/>
        <v>94360</v>
      </c>
      <c r="G368" s="12">
        <f t="shared" si="134"/>
        <v>116380</v>
      </c>
      <c r="H368" s="12">
        <f t="shared" si="134"/>
        <v>113880</v>
      </c>
      <c r="I368" s="12">
        <f t="shared" si="134"/>
        <v>0</v>
      </c>
      <c r="J368" s="12">
        <f t="shared" si="134"/>
        <v>113880</v>
      </c>
      <c r="K368" s="22">
        <f t="shared" si="134"/>
        <v>120617</v>
      </c>
      <c r="L368" s="13">
        <f t="shared" si="134"/>
        <v>120617</v>
      </c>
      <c r="M368" s="13">
        <f>SUM(M355:M367)</f>
        <v>121617</v>
      </c>
      <c r="N368" s="13">
        <f>SUM(N355:N367)</f>
        <v>121617</v>
      </c>
      <c r="O368" s="13">
        <f>SUM(O355:O367)</f>
        <v>0</v>
      </c>
      <c r="P368" s="13">
        <f>SUM(P355:P367)</f>
        <v>121617</v>
      </c>
      <c r="Q368" s="13">
        <f t="shared" si="134"/>
        <v>1000</v>
      </c>
      <c r="R368" s="14">
        <f>Q368/L368</f>
        <v>0.008290705290299046</v>
      </c>
    </row>
    <row r="369" spans="3:18" ht="12.75" hidden="1">
      <c r="C369" s="9"/>
      <c r="D369" s="9"/>
      <c r="E369" s="9"/>
      <c r="F369" s="9"/>
      <c r="G369" s="32"/>
      <c r="H369" s="32"/>
      <c r="I369" s="9"/>
      <c r="J369" s="9"/>
      <c r="K369" s="31"/>
      <c r="L369" s="31"/>
      <c r="M369" s="31"/>
      <c r="N369" s="31"/>
      <c r="O369" s="31"/>
      <c r="P369" s="31"/>
      <c r="Q369" s="10"/>
      <c r="R369" s="11"/>
    </row>
    <row r="370" spans="1:18" ht="12.75" hidden="1">
      <c r="A370" t="s">
        <v>322</v>
      </c>
      <c r="B370" t="s">
        <v>323</v>
      </c>
      <c r="C370" s="9">
        <v>3250</v>
      </c>
      <c r="D370" s="9">
        <v>3250</v>
      </c>
      <c r="E370" s="9"/>
      <c r="F370" s="10">
        <f>D370+E370</f>
        <v>3250</v>
      </c>
      <c r="G370" s="31">
        <v>3250</v>
      </c>
      <c r="H370" s="31">
        <v>3250</v>
      </c>
      <c r="I370" s="9"/>
      <c r="J370" s="10">
        <f>H370+I370</f>
        <v>3250</v>
      </c>
      <c r="K370" s="31">
        <v>3250</v>
      </c>
      <c r="L370" s="31">
        <v>3250</v>
      </c>
      <c r="M370" s="31">
        <v>3250</v>
      </c>
      <c r="N370" s="31">
        <v>3250</v>
      </c>
      <c r="O370" s="31"/>
      <c r="P370" s="10">
        <f>N370+O370</f>
        <v>3250</v>
      </c>
      <c r="Q370" s="10">
        <f>P370-L370</f>
        <v>0</v>
      </c>
      <c r="R370" s="11">
        <f>Q370/L370</f>
        <v>0</v>
      </c>
    </row>
    <row r="371" spans="1:18" ht="12.75" hidden="1">
      <c r="A371" t="s">
        <v>324</v>
      </c>
      <c r="B371" t="s">
        <v>50</v>
      </c>
      <c r="C371" s="10">
        <v>1000</v>
      </c>
      <c r="D371" s="10">
        <v>1000</v>
      </c>
      <c r="E371" s="10"/>
      <c r="F371" s="10">
        <f>D371+E371</f>
        <v>1000</v>
      </c>
      <c r="G371" s="10">
        <v>1500</v>
      </c>
      <c r="H371" s="10">
        <v>1500</v>
      </c>
      <c r="I371" s="10"/>
      <c r="J371" s="10">
        <f>H371+I371</f>
        <v>1500</v>
      </c>
      <c r="K371" s="31">
        <v>1500</v>
      </c>
      <c r="L371" s="10">
        <v>1500</v>
      </c>
      <c r="M371" s="10">
        <v>1500</v>
      </c>
      <c r="N371" s="10">
        <v>1500</v>
      </c>
      <c r="O371" s="10"/>
      <c r="P371" s="10">
        <f>N371+O371</f>
        <v>1500</v>
      </c>
      <c r="Q371" s="10">
        <f>P371-L371</f>
        <v>0</v>
      </c>
      <c r="R371" s="11">
        <f>Q371/L371</f>
        <v>0</v>
      </c>
    </row>
    <row r="372" spans="2:18" ht="12.75">
      <c r="B372" s="8" t="s">
        <v>23</v>
      </c>
      <c r="C372" s="12">
        <f aca="true" t="shared" si="135" ref="C372:Q372">SUM(C370:C371)</f>
        <v>4250</v>
      </c>
      <c r="D372" s="12">
        <f t="shared" si="135"/>
        <v>4250</v>
      </c>
      <c r="E372" s="12">
        <f t="shared" si="135"/>
        <v>0</v>
      </c>
      <c r="F372" s="12">
        <f t="shared" si="135"/>
        <v>4250</v>
      </c>
      <c r="G372" s="12">
        <f t="shared" si="135"/>
        <v>4750</v>
      </c>
      <c r="H372" s="12">
        <f t="shared" si="135"/>
        <v>4750</v>
      </c>
      <c r="I372" s="12">
        <f t="shared" si="135"/>
        <v>0</v>
      </c>
      <c r="J372" s="12">
        <f t="shared" si="135"/>
        <v>4750</v>
      </c>
      <c r="K372" s="22">
        <f t="shared" si="135"/>
        <v>4750</v>
      </c>
      <c r="L372" s="13">
        <f>SUM(L370:L371)</f>
        <v>4750</v>
      </c>
      <c r="M372" s="13">
        <f>SUM(M370:M371)</f>
        <v>4750</v>
      </c>
      <c r="N372" s="13">
        <f>SUM(N370:N371)</f>
        <v>4750</v>
      </c>
      <c r="O372" s="13">
        <f>SUM(O370:O371)</f>
        <v>0</v>
      </c>
      <c r="P372" s="13">
        <f>SUM(P370:P371)</f>
        <v>4750</v>
      </c>
      <c r="Q372" s="13">
        <f t="shared" si="135"/>
        <v>0</v>
      </c>
      <c r="R372" s="14">
        <f>Q372/L372</f>
        <v>0</v>
      </c>
    </row>
    <row r="373" spans="3:18" ht="12.75" hidden="1">
      <c r="C373" s="9"/>
      <c r="D373" s="9"/>
      <c r="E373" s="9"/>
      <c r="F373" s="9"/>
      <c r="G373" s="9"/>
      <c r="H373" s="9"/>
      <c r="I373" s="9"/>
      <c r="J373" s="9"/>
      <c r="K373" s="31"/>
      <c r="L373" s="10"/>
      <c r="M373" s="10"/>
      <c r="N373" s="10"/>
      <c r="O373" s="10"/>
      <c r="P373" s="10"/>
      <c r="Q373" s="10"/>
      <c r="R373" s="11"/>
    </row>
    <row r="374" spans="1:18" ht="12.75" hidden="1">
      <c r="A374" t="s">
        <v>325</v>
      </c>
      <c r="B374" t="s">
        <v>52</v>
      </c>
      <c r="C374" s="10">
        <v>1100</v>
      </c>
      <c r="D374" s="10">
        <v>1100</v>
      </c>
      <c r="E374" s="10">
        <v>-300</v>
      </c>
      <c r="F374" s="10">
        <f>D374+E374</f>
        <v>800</v>
      </c>
      <c r="G374" s="10">
        <v>1100</v>
      </c>
      <c r="H374" s="10">
        <v>1100</v>
      </c>
      <c r="I374" s="10"/>
      <c r="J374" s="10">
        <f>H374+I374</f>
        <v>1100</v>
      </c>
      <c r="K374" s="31">
        <v>1100</v>
      </c>
      <c r="L374" s="10">
        <v>1100</v>
      </c>
      <c r="M374" s="10">
        <v>1100</v>
      </c>
      <c r="N374" s="10">
        <v>1100</v>
      </c>
      <c r="O374" s="10"/>
      <c r="P374" s="10">
        <f>N374+O374</f>
        <v>1100</v>
      </c>
      <c r="Q374" s="10">
        <f>P374-L374</f>
        <v>0</v>
      </c>
      <c r="R374" s="11">
        <f>Q374/L374</f>
        <v>0</v>
      </c>
    </row>
    <row r="375" spans="2:18" ht="12.75" hidden="1">
      <c r="B375" t="s">
        <v>107</v>
      </c>
      <c r="C375" s="10">
        <v>2000</v>
      </c>
      <c r="D375" s="10">
        <v>1000</v>
      </c>
      <c r="E375" s="10"/>
      <c r="F375" s="10">
        <f>D375+E375</f>
        <v>1000</v>
      </c>
      <c r="G375" s="10">
        <v>3300</v>
      </c>
      <c r="H375" s="10">
        <v>0</v>
      </c>
      <c r="I375" s="10"/>
      <c r="J375" s="10">
        <f>H375+I375</f>
        <v>0</v>
      </c>
      <c r="K375" s="31"/>
      <c r="L375" s="10">
        <v>0</v>
      </c>
      <c r="M375" s="10">
        <v>0</v>
      </c>
      <c r="N375" s="10">
        <v>0</v>
      </c>
      <c r="O375" s="10"/>
      <c r="P375" s="10">
        <f>N375+O375</f>
        <v>0</v>
      </c>
      <c r="Q375" s="10">
        <f>P375-L375</f>
        <v>0</v>
      </c>
      <c r="R375" s="11" t="e">
        <f>Q375/L375</f>
        <v>#DIV/0!</v>
      </c>
    </row>
    <row r="376" spans="2:18" ht="12.75">
      <c r="B376" s="8" t="s">
        <v>53</v>
      </c>
      <c r="C376" s="12">
        <f aca="true" t="shared" si="136" ref="C376:Q376">SUM(C374:C375)</f>
        <v>3100</v>
      </c>
      <c r="D376" s="12">
        <f t="shared" si="136"/>
        <v>2100</v>
      </c>
      <c r="E376" s="12">
        <f t="shared" si="136"/>
        <v>-300</v>
      </c>
      <c r="F376" s="12">
        <f t="shared" si="136"/>
        <v>1800</v>
      </c>
      <c r="G376" s="12">
        <f t="shared" si="136"/>
        <v>4400</v>
      </c>
      <c r="H376" s="12">
        <f t="shared" si="136"/>
        <v>1100</v>
      </c>
      <c r="I376" s="12">
        <f t="shared" si="136"/>
        <v>0</v>
      </c>
      <c r="J376" s="12">
        <f t="shared" si="136"/>
        <v>1100</v>
      </c>
      <c r="K376" s="22">
        <f t="shared" si="136"/>
        <v>1100</v>
      </c>
      <c r="L376" s="13">
        <f t="shared" si="136"/>
        <v>1100</v>
      </c>
      <c r="M376" s="13">
        <f>SUM(M374:M375)</f>
        <v>1100</v>
      </c>
      <c r="N376" s="13">
        <f>SUM(N374:N375)</f>
        <v>1100</v>
      </c>
      <c r="O376" s="13">
        <f>SUM(O374:O375)</f>
        <v>0</v>
      </c>
      <c r="P376" s="13">
        <f>SUM(P374:P375)</f>
        <v>1100</v>
      </c>
      <c r="Q376" s="13">
        <f t="shared" si="136"/>
        <v>0</v>
      </c>
      <c r="R376" s="14">
        <f>Q376/L376</f>
        <v>0</v>
      </c>
    </row>
    <row r="377" spans="3:18" ht="12.75" hidden="1">
      <c r="C377" s="9"/>
      <c r="D377" s="9"/>
      <c r="E377" s="9"/>
      <c r="F377" s="9"/>
      <c r="G377" s="9"/>
      <c r="H377" s="9"/>
      <c r="I377" s="9"/>
      <c r="J377" s="9"/>
      <c r="K377" s="31"/>
      <c r="L377" s="10"/>
      <c r="M377" s="10"/>
      <c r="N377" s="10"/>
      <c r="O377" s="10"/>
      <c r="P377" s="10"/>
      <c r="Q377" s="10"/>
      <c r="R377" s="11"/>
    </row>
    <row r="378" spans="1:18" ht="12.75" hidden="1">
      <c r="A378" t="s">
        <v>326</v>
      </c>
      <c r="B378" t="s">
        <v>25</v>
      </c>
      <c r="C378" s="9">
        <v>1000</v>
      </c>
      <c r="D378" s="9">
        <v>1000</v>
      </c>
      <c r="E378" s="9"/>
      <c r="F378" s="10">
        <f>D378+E378</f>
        <v>1000</v>
      </c>
      <c r="G378" s="10">
        <v>835</v>
      </c>
      <c r="H378" s="10">
        <v>4300</v>
      </c>
      <c r="I378" s="9"/>
      <c r="J378" s="10">
        <f>H378+I378</f>
        <v>4300</v>
      </c>
      <c r="K378" s="31">
        <v>4630</v>
      </c>
      <c r="L378" s="31">
        <v>4630</v>
      </c>
      <c r="M378" s="31">
        <v>4630</v>
      </c>
      <c r="N378" s="31">
        <v>4630</v>
      </c>
      <c r="O378" s="31"/>
      <c r="P378" s="10">
        <f>N378+O378</f>
        <v>4630</v>
      </c>
      <c r="Q378" s="10">
        <f>P378-L378</f>
        <v>0</v>
      </c>
      <c r="R378" s="11">
        <f>Q378/L378</f>
        <v>0</v>
      </c>
    </row>
    <row r="379" spans="2:18" ht="12.75" hidden="1">
      <c r="B379" t="s">
        <v>55</v>
      </c>
      <c r="C379" s="9"/>
      <c r="D379" s="9"/>
      <c r="E379" s="9"/>
      <c r="F379" s="10">
        <f>D379+E379</f>
        <v>0</v>
      </c>
      <c r="G379" s="10">
        <v>165</v>
      </c>
      <c r="H379" s="10">
        <v>165</v>
      </c>
      <c r="I379" s="9"/>
      <c r="J379" s="10">
        <f>H379+I379</f>
        <v>165</v>
      </c>
      <c r="K379" s="31">
        <v>165</v>
      </c>
      <c r="L379" s="10">
        <v>165</v>
      </c>
      <c r="M379" s="10">
        <v>165</v>
      </c>
      <c r="N379" s="10">
        <v>165</v>
      </c>
      <c r="O379" s="10"/>
      <c r="P379" s="10">
        <f>N379+O379</f>
        <v>165</v>
      </c>
      <c r="Q379" s="10">
        <f>P379-L379</f>
        <v>0</v>
      </c>
      <c r="R379" s="11">
        <f>Q379/L379</f>
        <v>0</v>
      </c>
    </row>
    <row r="380" spans="2:18" ht="12.75">
      <c r="B380" s="8" t="s">
        <v>27</v>
      </c>
      <c r="C380" s="12">
        <f aca="true" t="shared" si="137" ref="C380:Q380">SUM(C378:C379)</f>
        <v>1000</v>
      </c>
      <c r="D380" s="12">
        <f t="shared" si="137"/>
        <v>1000</v>
      </c>
      <c r="E380" s="12">
        <f t="shared" si="137"/>
        <v>0</v>
      </c>
      <c r="F380" s="12">
        <f t="shared" si="137"/>
        <v>1000</v>
      </c>
      <c r="G380" s="12">
        <f t="shared" si="137"/>
        <v>1000</v>
      </c>
      <c r="H380" s="12">
        <f t="shared" si="137"/>
        <v>4465</v>
      </c>
      <c r="I380" s="12">
        <f t="shared" si="137"/>
        <v>0</v>
      </c>
      <c r="J380" s="12">
        <f t="shared" si="137"/>
        <v>4465</v>
      </c>
      <c r="K380" s="13">
        <f t="shared" si="137"/>
        <v>4795</v>
      </c>
      <c r="L380" s="13">
        <f t="shared" si="137"/>
        <v>4795</v>
      </c>
      <c r="M380" s="13">
        <f t="shared" si="137"/>
        <v>4795</v>
      </c>
      <c r="N380" s="13">
        <f t="shared" si="137"/>
        <v>4795</v>
      </c>
      <c r="O380" s="13">
        <f t="shared" si="137"/>
        <v>0</v>
      </c>
      <c r="P380" s="13">
        <f t="shared" si="137"/>
        <v>4795</v>
      </c>
      <c r="Q380" s="13">
        <f t="shared" si="137"/>
        <v>0</v>
      </c>
      <c r="R380" s="14">
        <f>Q380/L380</f>
        <v>0</v>
      </c>
    </row>
    <row r="381" spans="3:18" ht="12.75" hidden="1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5"/>
    </row>
    <row r="382" spans="2:18" s="16" customFormat="1" ht="12.75">
      <c r="B382" s="17" t="s">
        <v>327</v>
      </c>
      <c r="C382" s="18" t="e">
        <f aca="true" t="shared" si="138" ref="C382:Q382">SUM(C380+C376+C372+C368)</f>
        <v>#REF!</v>
      </c>
      <c r="D382" s="18">
        <f t="shared" si="138"/>
        <v>86240</v>
      </c>
      <c r="E382" s="18">
        <f t="shared" si="138"/>
        <v>15170</v>
      </c>
      <c r="F382" s="18">
        <f t="shared" si="138"/>
        <v>101410</v>
      </c>
      <c r="G382" s="18">
        <f t="shared" si="138"/>
        <v>126530</v>
      </c>
      <c r="H382" s="18">
        <f t="shared" si="138"/>
        <v>124195</v>
      </c>
      <c r="I382" s="18">
        <f t="shared" si="138"/>
        <v>0</v>
      </c>
      <c r="J382" s="18">
        <f t="shared" si="138"/>
        <v>124195</v>
      </c>
      <c r="K382" s="18">
        <f t="shared" si="138"/>
        <v>131262</v>
      </c>
      <c r="L382" s="18">
        <f t="shared" si="138"/>
        <v>131262</v>
      </c>
      <c r="M382" s="18">
        <f>SUM(M380+M376+M372+M368)</f>
        <v>132262</v>
      </c>
      <c r="N382" s="18">
        <f>SUM(N380+N376+N372+N368)</f>
        <v>132262</v>
      </c>
      <c r="O382" s="18">
        <f>SUM(O380+O376+O372+O368)</f>
        <v>0</v>
      </c>
      <c r="P382" s="18">
        <f>SUM(P380+P376+P372+P368)</f>
        <v>132262</v>
      </c>
      <c r="Q382" s="18">
        <f t="shared" si="138"/>
        <v>1000</v>
      </c>
      <c r="R382" s="19">
        <f>Q382/L382</f>
        <v>0.0076183510840913595</v>
      </c>
    </row>
    <row r="383" spans="3:17" ht="12.7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9"/>
    </row>
    <row r="384" spans="3:18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7"/>
    </row>
    <row r="385" spans="2:18" ht="12.75">
      <c r="B385" s="8" t="s">
        <v>328</v>
      </c>
      <c r="C385" s="9"/>
      <c r="D385" s="9"/>
      <c r="E385" s="9"/>
      <c r="F385" s="9"/>
      <c r="G385" s="9"/>
      <c r="H385" s="9"/>
      <c r="I385" s="9"/>
      <c r="J385" s="9"/>
      <c r="K385" s="10"/>
      <c r="L385" s="10"/>
      <c r="M385" s="10"/>
      <c r="N385" s="10"/>
      <c r="O385" s="10"/>
      <c r="P385" s="10"/>
      <c r="Q385" s="28"/>
      <c r="R385" s="28"/>
    </row>
    <row r="386" spans="1:18" ht="12.75" hidden="1">
      <c r="A386" t="s">
        <v>329</v>
      </c>
      <c r="B386" t="s">
        <v>328</v>
      </c>
      <c r="C386" s="9">
        <v>18200</v>
      </c>
      <c r="D386" s="9">
        <v>18200</v>
      </c>
      <c r="E386" s="9"/>
      <c r="F386" s="10">
        <f>D386+E386</f>
        <v>18200</v>
      </c>
      <c r="G386" s="10">
        <v>18200</v>
      </c>
      <c r="H386" s="10">
        <v>18200</v>
      </c>
      <c r="I386" s="9"/>
      <c r="J386" s="10">
        <f>H386+I386</f>
        <v>18200</v>
      </c>
      <c r="K386" s="10">
        <v>19500</v>
      </c>
      <c r="L386" s="10">
        <v>19500</v>
      </c>
      <c r="M386" s="10">
        <v>19500</v>
      </c>
      <c r="N386" s="10">
        <v>19500</v>
      </c>
      <c r="O386" s="10"/>
      <c r="P386" s="10">
        <f>N386+O386</f>
        <v>19500</v>
      </c>
      <c r="Q386" s="10">
        <f>P386-L386</f>
        <v>0</v>
      </c>
      <c r="R386" s="11">
        <f>Q386/L386</f>
        <v>0</v>
      </c>
    </row>
    <row r="387" spans="1:18" ht="12.75" hidden="1">
      <c r="A387" t="s">
        <v>330</v>
      </c>
      <c r="B387" t="s">
        <v>331</v>
      </c>
      <c r="C387" s="9">
        <v>1000</v>
      </c>
      <c r="D387" s="9">
        <v>5000</v>
      </c>
      <c r="E387" s="9">
        <v>-1000</v>
      </c>
      <c r="F387" s="10">
        <f>D387+E387</f>
        <v>4000</v>
      </c>
      <c r="G387" s="10">
        <v>3000</v>
      </c>
      <c r="H387" s="10">
        <v>1000</v>
      </c>
      <c r="I387" s="9"/>
      <c r="J387" s="10">
        <f>H387+I387</f>
        <v>1000</v>
      </c>
      <c r="K387" s="10">
        <v>1000</v>
      </c>
      <c r="L387" s="10">
        <v>1000</v>
      </c>
      <c r="M387" s="10">
        <v>1000</v>
      </c>
      <c r="N387" s="10">
        <v>1000</v>
      </c>
      <c r="O387" s="10"/>
      <c r="P387" s="10">
        <f>N387+O387</f>
        <v>1000</v>
      </c>
      <c r="Q387" s="10">
        <f>P387-L387</f>
        <v>0</v>
      </c>
      <c r="R387" s="11">
        <f>Q387/L387</f>
        <v>0</v>
      </c>
    </row>
    <row r="388" spans="2:18" ht="12" customHeight="1">
      <c r="B388" s="8" t="s">
        <v>20</v>
      </c>
      <c r="C388" s="12">
        <f aca="true" t="shared" si="139" ref="C388:Q388">SUM(C386:C387)</f>
        <v>19200</v>
      </c>
      <c r="D388" s="12">
        <f t="shared" si="139"/>
        <v>23200</v>
      </c>
      <c r="E388" s="12">
        <f t="shared" si="139"/>
        <v>-1000</v>
      </c>
      <c r="F388" s="12">
        <f t="shared" si="139"/>
        <v>22200</v>
      </c>
      <c r="G388" s="12">
        <f t="shared" si="139"/>
        <v>21200</v>
      </c>
      <c r="H388" s="12">
        <f t="shared" si="139"/>
        <v>19200</v>
      </c>
      <c r="I388" s="12">
        <f t="shared" si="139"/>
        <v>0</v>
      </c>
      <c r="J388" s="12">
        <f t="shared" si="139"/>
        <v>19200</v>
      </c>
      <c r="K388" s="13">
        <f t="shared" si="139"/>
        <v>20500</v>
      </c>
      <c r="L388" s="13">
        <f t="shared" si="139"/>
        <v>20500</v>
      </c>
      <c r="M388" s="13">
        <f t="shared" si="139"/>
        <v>20500</v>
      </c>
      <c r="N388" s="13">
        <f t="shared" si="139"/>
        <v>20500</v>
      </c>
      <c r="O388" s="13">
        <f t="shared" si="139"/>
        <v>0</v>
      </c>
      <c r="P388" s="13">
        <f t="shared" si="139"/>
        <v>20500</v>
      </c>
      <c r="Q388" s="13">
        <f t="shared" si="139"/>
        <v>0</v>
      </c>
      <c r="R388" s="14">
        <f>Q388/L388</f>
        <v>0</v>
      </c>
    </row>
    <row r="389" spans="3:18" ht="12" customHeight="1" hidden="1">
      <c r="C389" s="9"/>
      <c r="D389" s="9"/>
      <c r="E389" s="9"/>
      <c r="F389" s="9"/>
      <c r="G389" s="9"/>
      <c r="H389" s="9"/>
      <c r="I389" s="9"/>
      <c r="J389" s="9"/>
      <c r="K389" s="10"/>
      <c r="L389" s="10"/>
      <c r="M389" s="10"/>
      <c r="N389" s="10"/>
      <c r="O389" s="10"/>
      <c r="P389" s="10"/>
      <c r="Q389" s="10"/>
      <c r="R389" s="11"/>
    </row>
    <row r="390" spans="1:18" ht="12.75" hidden="1">
      <c r="A390" t="s">
        <v>332</v>
      </c>
      <c r="B390" s="20" t="s">
        <v>333</v>
      </c>
      <c r="C390" s="10">
        <v>750</v>
      </c>
      <c r="D390" s="10">
        <f>750+4500</f>
        <v>5250</v>
      </c>
      <c r="E390" s="10">
        <v>-1250</v>
      </c>
      <c r="F390" s="10">
        <f>D390+E390</f>
        <v>4000</v>
      </c>
      <c r="G390" s="10">
        <v>2750</v>
      </c>
      <c r="H390" s="10">
        <v>1000</v>
      </c>
      <c r="I390" s="10"/>
      <c r="J390" s="10">
        <f>H390+I390</f>
        <v>1000</v>
      </c>
      <c r="K390" s="10">
        <v>1000</v>
      </c>
      <c r="L390" s="10">
        <v>1000</v>
      </c>
      <c r="M390" s="10">
        <v>1000</v>
      </c>
      <c r="N390" s="10">
        <v>1000</v>
      </c>
      <c r="O390" s="10"/>
      <c r="P390" s="10">
        <f>N390+O390</f>
        <v>1000</v>
      </c>
      <c r="Q390" s="10">
        <f>P390-L390</f>
        <v>0</v>
      </c>
      <c r="R390" s="11">
        <f>Q390/L390</f>
        <v>0</v>
      </c>
    </row>
    <row r="391" spans="2:18" ht="12.75" hidden="1">
      <c r="B391" s="20" t="s">
        <v>58</v>
      </c>
      <c r="C391" s="10"/>
      <c r="D391" s="10"/>
      <c r="E391" s="10"/>
      <c r="F391" s="10"/>
      <c r="G391" s="10"/>
      <c r="H391" s="10">
        <v>1000</v>
      </c>
      <c r="I391" s="10"/>
      <c r="J391" s="10">
        <f>H391+I391</f>
        <v>1000</v>
      </c>
      <c r="K391" s="10">
        <v>1000</v>
      </c>
      <c r="L391" s="10">
        <v>1000</v>
      </c>
      <c r="M391" s="10">
        <v>1000</v>
      </c>
      <c r="N391" s="10">
        <v>1000</v>
      </c>
      <c r="O391" s="10"/>
      <c r="P391" s="10">
        <f>N391+O391</f>
        <v>1000</v>
      </c>
      <c r="Q391" s="10">
        <f>P391-L391</f>
        <v>0</v>
      </c>
      <c r="R391" s="11">
        <f>Q391/L391</f>
        <v>0</v>
      </c>
    </row>
    <row r="392" spans="2:18" ht="12.75" hidden="1">
      <c r="B392" s="20" t="s">
        <v>334</v>
      </c>
      <c r="C392" s="10"/>
      <c r="D392" s="10"/>
      <c r="E392" s="10"/>
      <c r="F392" s="10"/>
      <c r="G392" s="10"/>
      <c r="H392" s="10">
        <v>8700</v>
      </c>
      <c r="I392" s="10"/>
      <c r="J392" s="10">
        <f>H392+I392</f>
        <v>8700</v>
      </c>
      <c r="K392" s="10">
        <v>8700</v>
      </c>
      <c r="L392" s="10">
        <v>8700</v>
      </c>
      <c r="M392" s="10">
        <v>8700</v>
      </c>
      <c r="N392" s="10">
        <v>8700</v>
      </c>
      <c r="O392" s="10"/>
      <c r="P392" s="10">
        <f>N392+O392</f>
        <v>8700</v>
      </c>
      <c r="Q392" s="10">
        <f>P392-L392</f>
        <v>0</v>
      </c>
      <c r="R392" s="11">
        <f>Q392/L392</f>
        <v>0</v>
      </c>
    </row>
    <row r="393" spans="2:18" ht="12.75" hidden="1">
      <c r="B393" t="s">
        <v>50</v>
      </c>
      <c r="C393" s="10">
        <v>720</v>
      </c>
      <c r="D393" s="10">
        <v>1000</v>
      </c>
      <c r="E393" s="10"/>
      <c r="F393" s="10">
        <f>D393+E393</f>
        <v>1000</v>
      </c>
      <c r="G393" s="10">
        <v>1000</v>
      </c>
      <c r="H393" s="10">
        <v>1000</v>
      </c>
      <c r="I393" s="10"/>
      <c r="J393" s="10">
        <f>H393+I393</f>
        <v>1000</v>
      </c>
      <c r="K393" s="10">
        <v>1000</v>
      </c>
      <c r="L393" s="10">
        <v>1000</v>
      </c>
      <c r="M393" s="10">
        <v>1000</v>
      </c>
      <c r="N393" s="10">
        <v>1000</v>
      </c>
      <c r="O393" s="10"/>
      <c r="P393" s="10">
        <f>N393+O393</f>
        <v>1000</v>
      </c>
      <c r="Q393" s="10">
        <f>P393-L393</f>
        <v>0</v>
      </c>
      <c r="R393" s="11">
        <f>Q393/L393</f>
        <v>0</v>
      </c>
    </row>
    <row r="394" spans="2:18" ht="12" customHeight="1">
      <c r="B394" s="8" t="s">
        <v>23</v>
      </c>
      <c r="C394" s="12">
        <f aca="true" t="shared" si="140" ref="C394:Q394">SUM(C390:C393)</f>
        <v>1470</v>
      </c>
      <c r="D394" s="12">
        <f t="shared" si="140"/>
        <v>6250</v>
      </c>
      <c r="E394" s="12">
        <f t="shared" si="140"/>
        <v>-1250</v>
      </c>
      <c r="F394" s="12">
        <f t="shared" si="140"/>
        <v>5000</v>
      </c>
      <c r="G394" s="12">
        <f t="shared" si="140"/>
        <v>3750</v>
      </c>
      <c r="H394" s="12">
        <f t="shared" si="140"/>
        <v>11700</v>
      </c>
      <c r="I394" s="12">
        <f t="shared" si="140"/>
        <v>0</v>
      </c>
      <c r="J394" s="12">
        <f t="shared" si="140"/>
        <v>11700</v>
      </c>
      <c r="K394" s="13">
        <f t="shared" si="140"/>
        <v>11700</v>
      </c>
      <c r="L394" s="13">
        <f t="shared" si="140"/>
        <v>11700</v>
      </c>
      <c r="M394" s="13">
        <f t="shared" si="140"/>
        <v>11700</v>
      </c>
      <c r="N394" s="13">
        <f t="shared" si="140"/>
        <v>11700</v>
      </c>
      <c r="O394" s="13">
        <f t="shared" si="140"/>
        <v>0</v>
      </c>
      <c r="P394" s="13">
        <f t="shared" si="140"/>
        <v>11700</v>
      </c>
      <c r="Q394" s="13">
        <f t="shared" si="140"/>
        <v>0</v>
      </c>
      <c r="R394" s="14">
        <f>Q394/L394</f>
        <v>0</v>
      </c>
    </row>
    <row r="395" spans="3:18" ht="12" customHeight="1" hidden="1">
      <c r="C395" s="9"/>
      <c r="D395" s="9"/>
      <c r="E395" s="9"/>
      <c r="F395" s="9"/>
      <c r="G395" s="9"/>
      <c r="H395" s="9"/>
      <c r="I395" s="9"/>
      <c r="J395" s="9"/>
      <c r="K395" s="10"/>
      <c r="L395" s="10"/>
      <c r="M395" s="10"/>
      <c r="N395" s="10"/>
      <c r="O395" s="10"/>
      <c r="P395" s="10"/>
      <c r="Q395" s="10"/>
      <c r="R395" s="11"/>
    </row>
    <row r="396" spans="1:18" ht="12.75" hidden="1">
      <c r="A396" t="s">
        <v>335</v>
      </c>
      <c r="B396" t="s">
        <v>336</v>
      </c>
      <c r="C396" s="10">
        <v>200</v>
      </c>
      <c r="D396" s="10">
        <v>200</v>
      </c>
      <c r="E396" s="10"/>
      <c r="F396" s="10">
        <f>D396+E396</f>
        <v>200</v>
      </c>
      <c r="G396" s="10">
        <v>200</v>
      </c>
      <c r="H396" s="10">
        <v>200</v>
      </c>
      <c r="I396" s="10"/>
      <c r="J396" s="10">
        <f>H396+I396</f>
        <v>200</v>
      </c>
      <c r="K396" s="10">
        <v>200</v>
      </c>
      <c r="L396" s="10">
        <v>200</v>
      </c>
      <c r="M396" s="10">
        <v>200</v>
      </c>
      <c r="N396" s="10">
        <v>200</v>
      </c>
      <c r="O396" s="10"/>
      <c r="P396" s="10">
        <f>N396+O396</f>
        <v>200</v>
      </c>
      <c r="Q396" s="10">
        <f>P396-L396</f>
        <v>0</v>
      </c>
      <c r="R396" s="11">
        <f>Q396/L396</f>
        <v>0</v>
      </c>
    </row>
    <row r="397" spans="2:18" ht="12.75" hidden="1">
      <c r="B397" t="s">
        <v>107</v>
      </c>
      <c r="C397" s="10">
        <v>1000</v>
      </c>
      <c r="D397" s="10">
        <v>1000</v>
      </c>
      <c r="E397" s="10"/>
      <c r="F397" s="10">
        <f>D397+E397</f>
        <v>1000</v>
      </c>
      <c r="G397" s="10">
        <v>1000</v>
      </c>
      <c r="H397" s="10">
        <v>1000</v>
      </c>
      <c r="I397" s="10"/>
      <c r="J397" s="10">
        <f>H397+I397</f>
        <v>1000</v>
      </c>
      <c r="K397" s="10">
        <v>1000</v>
      </c>
      <c r="L397" s="10">
        <v>1000</v>
      </c>
      <c r="M397" s="10">
        <v>1000</v>
      </c>
      <c r="N397" s="10">
        <v>1000</v>
      </c>
      <c r="O397" s="10"/>
      <c r="P397" s="10">
        <f>N397+O397</f>
        <v>1000</v>
      </c>
      <c r="Q397" s="10">
        <f>P397-L397</f>
        <v>0</v>
      </c>
      <c r="R397" s="11">
        <f>Q397/L397</f>
        <v>0</v>
      </c>
    </row>
    <row r="398" spans="2:18" ht="12" customHeight="1">
      <c r="B398" s="8" t="s">
        <v>53</v>
      </c>
      <c r="C398" s="12">
        <f aca="true" t="shared" si="141" ref="C398:Q398">SUM(C396:C397)</f>
        <v>1200</v>
      </c>
      <c r="D398" s="12">
        <f t="shared" si="141"/>
        <v>1200</v>
      </c>
      <c r="E398" s="12">
        <f t="shared" si="141"/>
        <v>0</v>
      </c>
      <c r="F398" s="12">
        <f t="shared" si="141"/>
        <v>1200</v>
      </c>
      <c r="G398" s="12">
        <f t="shared" si="141"/>
        <v>1200</v>
      </c>
      <c r="H398" s="12">
        <f t="shared" si="141"/>
        <v>1200</v>
      </c>
      <c r="I398" s="12">
        <f t="shared" si="141"/>
        <v>0</v>
      </c>
      <c r="J398" s="12">
        <f t="shared" si="141"/>
        <v>1200</v>
      </c>
      <c r="K398" s="13">
        <f t="shared" si="141"/>
        <v>1200</v>
      </c>
      <c r="L398" s="13">
        <f t="shared" si="141"/>
        <v>1200</v>
      </c>
      <c r="M398" s="13">
        <f t="shared" si="141"/>
        <v>1200</v>
      </c>
      <c r="N398" s="13">
        <f t="shared" si="141"/>
        <v>1200</v>
      </c>
      <c r="O398" s="13">
        <f t="shared" si="141"/>
        <v>0</v>
      </c>
      <c r="P398" s="13">
        <f t="shared" si="141"/>
        <v>1200</v>
      </c>
      <c r="Q398" s="13">
        <f t="shared" si="141"/>
        <v>0</v>
      </c>
      <c r="R398" s="14">
        <f>Q398/L398</f>
        <v>0</v>
      </c>
    </row>
    <row r="399" spans="3:18" ht="12" customHeight="1" hidden="1">
      <c r="C399" s="9"/>
      <c r="D399" s="9"/>
      <c r="E399" s="9"/>
      <c r="F399" s="9"/>
      <c r="G399" s="9"/>
      <c r="H399" s="9"/>
      <c r="I399" s="9"/>
      <c r="J399" s="9"/>
      <c r="K399" s="10"/>
      <c r="L399" s="10"/>
      <c r="M399" s="10"/>
      <c r="N399" s="10"/>
      <c r="O399" s="10"/>
      <c r="P399" s="10"/>
      <c r="Q399" s="10"/>
      <c r="R399" s="11"/>
    </row>
    <row r="400" spans="1:18" ht="12.75" hidden="1">
      <c r="A400" t="s">
        <v>337</v>
      </c>
      <c r="B400" t="s">
        <v>25</v>
      </c>
      <c r="C400" s="10">
        <v>200</v>
      </c>
      <c r="D400" s="10">
        <v>200</v>
      </c>
      <c r="E400" s="10"/>
      <c r="F400" s="10">
        <f>D400+E400</f>
        <v>200</v>
      </c>
      <c r="G400" s="10">
        <v>200</v>
      </c>
      <c r="H400" s="10">
        <v>200</v>
      </c>
      <c r="I400" s="10"/>
      <c r="J400" s="10">
        <f>H400+I400</f>
        <v>200</v>
      </c>
      <c r="K400" s="10">
        <v>200</v>
      </c>
      <c r="L400" s="10">
        <v>200</v>
      </c>
      <c r="M400" s="10">
        <v>200</v>
      </c>
      <c r="N400" s="10">
        <v>200</v>
      </c>
      <c r="O400" s="10"/>
      <c r="P400" s="10">
        <f>N400+O400</f>
        <v>200</v>
      </c>
      <c r="Q400" s="10">
        <f>P400-L400</f>
        <v>0</v>
      </c>
      <c r="R400" s="11">
        <f>Q400/L400</f>
        <v>0</v>
      </c>
    </row>
    <row r="401" spans="2:18" ht="12" customHeight="1">
      <c r="B401" s="8" t="s">
        <v>27</v>
      </c>
      <c r="C401" s="12">
        <f aca="true" t="shared" si="142" ref="C401:Q401">SUM(C400)</f>
        <v>200</v>
      </c>
      <c r="D401" s="12">
        <f t="shared" si="142"/>
        <v>200</v>
      </c>
      <c r="E401" s="12">
        <f t="shared" si="142"/>
        <v>0</v>
      </c>
      <c r="F401" s="12">
        <f t="shared" si="142"/>
        <v>200</v>
      </c>
      <c r="G401" s="12">
        <f t="shared" si="142"/>
        <v>200</v>
      </c>
      <c r="H401" s="12">
        <f t="shared" si="142"/>
        <v>200</v>
      </c>
      <c r="I401" s="12">
        <f t="shared" si="142"/>
        <v>0</v>
      </c>
      <c r="J401" s="12">
        <f t="shared" si="142"/>
        <v>200</v>
      </c>
      <c r="K401" s="13">
        <f t="shared" si="142"/>
        <v>200</v>
      </c>
      <c r="L401" s="13">
        <f t="shared" si="142"/>
        <v>200</v>
      </c>
      <c r="M401" s="13">
        <f>SUM(M400)</f>
        <v>200</v>
      </c>
      <c r="N401" s="13">
        <f>SUM(N400)</f>
        <v>200</v>
      </c>
      <c r="O401" s="13">
        <f>SUM(O400)</f>
        <v>0</v>
      </c>
      <c r="P401" s="13">
        <f>SUM(P400)</f>
        <v>200</v>
      </c>
      <c r="Q401" s="13">
        <f t="shared" si="142"/>
        <v>0</v>
      </c>
      <c r="R401" s="14">
        <f>Q401/L401</f>
        <v>0</v>
      </c>
    </row>
    <row r="402" spans="3:18" ht="12" customHeight="1" hidden="1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5"/>
    </row>
    <row r="403" spans="2:18" s="16" customFormat="1" ht="12.75">
      <c r="B403" s="17" t="s">
        <v>338</v>
      </c>
      <c r="C403" s="18">
        <f aca="true" t="shared" si="143" ref="C403:Q403">SUM(C401+C398+C394+C388)</f>
        <v>22070</v>
      </c>
      <c r="D403" s="18">
        <f t="shared" si="143"/>
        <v>30850</v>
      </c>
      <c r="E403" s="18">
        <f t="shared" si="143"/>
        <v>-2250</v>
      </c>
      <c r="F403" s="18">
        <f t="shared" si="143"/>
        <v>28600</v>
      </c>
      <c r="G403" s="18">
        <f t="shared" si="143"/>
        <v>26350</v>
      </c>
      <c r="H403" s="18">
        <f t="shared" si="143"/>
        <v>32300</v>
      </c>
      <c r="I403" s="18">
        <f t="shared" si="143"/>
        <v>0</v>
      </c>
      <c r="J403" s="18">
        <f t="shared" si="143"/>
        <v>32300</v>
      </c>
      <c r="K403" s="18">
        <f t="shared" si="143"/>
        <v>33600</v>
      </c>
      <c r="L403" s="18">
        <f t="shared" si="143"/>
        <v>33600</v>
      </c>
      <c r="M403" s="18">
        <f>SUM(M401+M398+M394+M388)</f>
        <v>33600</v>
      </c>
      <c r="N403" s="18">
        <f>SUM(N401+N398+N394+N388)</f>
        <v>33600</v>
      </c>
      <c r="O403" s="18">
        <f>SUM(O401+O398+O394+O388)</f>
        <v>0</v>
      </c>
      <c r="P403" s="18">
        <f>SUM(P401+P398+P394+P388)</f>
        <v>33600</v>
      </c>
      <c r="Q403" s="18">
        <f t="shared" si="143"/>
        <v>0</v>
      </c>
      <c r="R403" s="19">
        <f>Q403/L403</f>
        <v>0</v>
      </c>
    </row>
    <row r="404" spans="3:17" ht="12.7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9"/>
    </row>
    <row r="405" spans="2:18" ht="12.75">
      <c r="B405" s="8" t="s">
        <v>339</v>
      </c>
      <c r="C405" s="9"/>
      <c r="D405" s="9"/>
      <c r="E405" s="9"/>
      <c r="F405" s="9"/>
      <c r="G405" s="9"/>
      <c r="H405" s="9"/>
      <c r="I405" s="9"/>
      <c r="J405" s="9"/>
      <c r="K405" s="10"/>
      <c r="L405" s="10"/>
      <c r="M405" s="10"/>
      <c r="N405" s="10"/>
      <c r="O405" s="10"/>
      <c r="P405" s="10"/>
      <c r="Q405" s="28"/>
      <c r="R405" s="28"/>
    </row>
    <row r="406" spans="1:18" ht="12.75" hidden="1">
      <c r="A406" t="s">
        <v>340</v>
      </c>
      <c r="B406" t="s">
        <v>341</v>
      </c>
      <c r="C406" s="9">
        <v>10500</v>
      </c>
      <c r="D406" s="9">
        <v>10500</v>
      </c>
      <c r="E406" s="9"/>
      <c r="F406" s="10">
        <f>D406+E406</f>
        <v>10500</v>
      </c>
      <c r="G406" s="10">
        <v>10500</v>
      </c>
      <c r="H406" s="10">
        <v>10500</v>
      </c>
      <c r="I406" s="9"/>
      <c r="J406" s="10">
        <f>H406+I406</f>
        <v>10500</v>
      </c>
      <c r="K406" s="10">
        <v>10500</v>
      </c>
      <c r="L406" s="10">
        <v>11500</v>
      </c>
      <c r="M406" s="10">
        <v>11500</v>
      </c>
      <c r="N406" s="10">
        <v>11500</v>
      </c>
      <c r="O406" s="10"/>
      <c r="P406" s="10">
        <f>N406+O406</f>
        <v>11500</v>
      </c>
      <c r="Q406" s="10">
        <f>P406-L406</f>
        <v>0</v>
      </c>
      <c r="R406" s="11">
        <f>Q406/L406</f>
        <v>0</v>
      </c>
    </row>
    <row r="407" spans="1:18" ht="12.75" hidden="1">
      <c r="A407" t="s">
        <v>342</v>
      </c>
      <c r="B407" t="s">
        <v>343</v>
      </c>
      <c r="C407" s="9">
        <f>28830+480</f>
        <v>29310</v>
      </c>
      <c r="D407" s="9">
        <v>18430</v>
      </c>
      <c r="E407" s="9"/>
      <c r="F407" s="10">
        <f>D407+E407</f>
        <v>18430</v>
      </c>
      <c r="G407" s="10">
        <v>31830</v>
      </c>
      <c r="H407" s="10">
        <v>22430</v>
      </c>
      <c r="I407" s="9"/>
      <c r="J407" s="10">
        <f>H407+I407</f>
        <v>22430</v>
      </c>
      <c r="K407" s="10">
        <v>22430</v>
      </c>
      <c r="L407" s="10">
        <v>22430</v>
      </c>
      <c r="M407" s="10">
        <v>24870</v>
      </c>
      <c r="N407" s="10">
        <v>22430</v>
      </c>
      <c r="O407" s="10"/>
      <c r="P407" s="10">
        <f>N407+O407</f>
        <v>22430</v>
      </c>
      <c r="Q407" s="10">
        <f>P407-L407</f>
        <v>0</v>
      </c>
      <c r="R407" s="11">
        <f>Q407/L407</f>
        <v>0</v>
      </c>
    </row>
    <row r="408" spans="2:18" ht="12.75">
      <c r="B408" s="8" t="s">
        <v>20</v>
      </c>
      <c r="C408" s="12">
        <f aca="true" t="shared" si="144" ref="C408:Q408">SUM(C406:C407)</f>
        <v>39810</v>
      </c>
      <c r="D408" s="12">
        <f t="shared" si="144"/>
        <v>28930</v>
      </c>
      <c r="E408" s="12">
        <f t="shared" si="144"/>
        <v>0</v>
      </c>
      <c r="F408" s="12">
        <f t="shared" si="144"/>
        <v>28930</v>
      </c>
      <c r="G408" s="12">
        <f t="shared" si="144"/>
        <v>42330</v>
      </c>
      <c r="H408" s="12">
        <f t="shared" si="144"/>
        <v>32930</v>
      </c>
      <c r="I408" s="12">
        <f t="shared" si="144"/>
        <v>0</v>
      </c>
      <c r="J408" s="12">
        <f t="shared" si="144"/>
        <v>32930</v>
      </c>
      <c r="K408" s="13">
        <f t="shared" si="144"/>
        <v>32930</v>
      </c>
      <c r="L408" s="13">
        <f t="shared" si="144"/>
        <v>33930</v>
      </c>
      <c r="M408" s="13">
        <f t="shared" si="144"/>
        <v>36370</v>
      </c>
      <c r="N408" s="13">
        <f t="shared" si="144"/>
        <v>33930</v>
      </c>
      <c r="O408" s="13">
        <f t="shared" si="144"/>
        <v>0</v>
      </c>
      <c r="P408" s="13">
        <f t="shared" si="144"/>
        <v>33930</v>
      </c>
      <c r="Q408" s="13">
        <f t="shared" si="144"/>
        <v>0</v>
      </c>
      <c r="R408" s="14">
        <f>Q408/L408</f>
        <v>0</v>
      </c>
    </row>
    <row r="409" spans="3:18" ht="12.75" hidden="1">
      <c r="C409" s="9"/>
      <c r="D409" s="9"/>
      <c r="E409" s="9"/>
      <c r="F409" s="9"/>
      <c r="G409" s="9"/>
      <c r="H409" s="9"/>
      <c r="I409" s="9"/>
      <c r="J409" s="9"/>
      <c r="K409" s="10"/>
      <c r="L409" s="10"/>
      <c r="M409" s="10"/>
      <c r="N409" s="10"/>
      <c r="O409" s="10"/>
      <c r="P409" s="10"/>
      <c r="Q409" s="10"/>
      <c r="R409" s="11"/>
    </row>
    <row r="410" spans="1:18" ht="12.75" hidden="1">
      <c r="A410" t="s">
        <v>344</v>
      </c>
      <c r="B410" t="s">
        <v>345</v>
      </c>
      <c r="C410" s="9">
        <f>7300+2200+1600</f>
        <v>11100</v>
      </c>
      <c r="D410" s="9">
        <f>7300+2200+1600-5000</f>
        <v>6100</v>
      </c>
      <c r="E410" s="9">
        <v>-900</v>
      </c>
      <c r="F410" s="10">
        <f>D410+E410</f>
        <v>5200</v>
      </c>
      <c r="G410" s="10">
        <v>11100</v>
      </c>
      <c r="H410" s="10">
        <v>5200</v>
      </c>
      <c r="I410" s="9"/>
      <c r="J410" s="10">
        <f>H410+I410</f>
        <v>5200</v>
      </c>
      <c r="K410" s="10">
        <v>5200</v>
      </c>
      <c r="L410" s="10">
        <v>5200</v>
      </c>
      <c r="M410" s="10">
        <v>5200</v>
      </c>
      <c r="N410" s="10">
        <v>5200</v>
      </c>
      <c r="O410" s="10"/>
      <c r="P410" s="10">
        <f>N410+O410</f>
        <v>5200</v>
      </c>
      <c r="Q410" s="10">
        <f>P410-L410</f>
        <v>0</v>
      </c>
      <c r="R410" s="11">
        <f>Q410/L410</f>
        <v>0</v>
      </c>
    </row>
    <row r="411" spans="1:18" ht="12.75" hidden="1">
      <c r="A411" t="s">
        <v>346</v>
      </c>
      <c r="B411" t="s">
        <v>50</v>
      </c>
      <c r="C411" s="10">
        <v>4398</v>
      </c>
      <c r="D411" s="10">
        <v>3200</v>
      </c>
      <c r="E411" s="10"/>
      <c r="F411" s="10">
        <f>D411+E411</f>
        <v>3200</v>
      </c>
      <c r="G411" s="10">
        <v>4398</v>
      </c>
      <c r="H411" s="10">
        <v>3200</v>
      </c>
      <c r="I411" s="10"/>
      <c r="J411" s="10">
        <f>H411+I411</f>
        <v>3200</v>
      </c>
      <c r="K411" s="10">
        <v>3200</v>
      </c>
      <c r="L411" s="10">
        <v>3200</v>
      </c>
      <c r="M411" s="10">
        <v>3200</v>
      </c>
      <c r="N411" s="10">
        <v>3200</v>
      </c>
      <c r="O411" s="10"/>
      <c r="P411" s="10">
        <f>N411+O411</f>
        <v>3200</v>
      </c>
      <c r="Q411" s="10">
        <f>P411-L411</f>
        <v>0</v>
      </c>
      <c r="R411" s="11">
        <f>Q411/L411</f>
        <v>0</v>
      </c>
    </row>
    <row r="412" spans="2:18" ht="12.75">
      <c r="B412" s="8" t="s">
        <v>23</v>
      </c>
      <c r="C412" s="12">
        <f aca="true" t="shared" si="145" ref="C412:Q412">SUM(C410:C411)</f>
        <v>15498</v>
      </c>
      <c r="D412" s="12">
        <f t="shared" si="145"/>
        <v>9300</v>
      </c>
      <c r="E412" s="12">
        <f t="shared" si="145"/>
        <v>-900</v>
      </c>
      <c r="F412" s="12">
        <f t="shared" si="145"/>
        <v>8400</v>
      </c>
      <c r="G412" s="12">
        <f t="shared" si="145"/>
        <v>15498</v>
      </c>
      <c r="H412" s="12">
        <f t="shared" si="145"/>
        <v>8400</v>
      </c>
      <c r="I412" s="12">
        <f t="shared" si="145"/>
        <v>0</v>
      </c>
      <c r="J412" s="12">
        <f t="shared" si="145"/>
        <v>8400</v>
      </c>
      <c r="K412" s="13">
        <f t="shared" si="145"/>
        <v>8400</v>
      </c>
      <c r="L412" s="13">
        <f t="shared" si="145"/>
        <v>8400</v>
      </c>
      <c r="M412" s="13">
        <f>SUM(M410:M411)</f>
        <v>8400</v>
      </c>
      <c r="N412" s="13">
        <f>SUM(N410:N411)</f>
        <v>8400</v>
      </c>
      <c r="O412" s="13">
        <f>SUM(O410:O411)</f>
        <v>0</v>
      </c>
      <c r="P412" s="13">
        <f>SUM(P410:P411)</f>
        <v>8400</v>
      </c>
      <c r="Q412" s="13">
        <f t="shared" si="145"/>
        <v>0</v>
      </c>
      <c r="R412" s="14">
        <f>Q412/L412</f>
        <v>0</v>
      </c>
    </row>
    <row r="413" spans="3:18" ht="12.75" hidden="1">
      <c r="C413" s="9"/>
      <c r="D413" s="9"/>
      <c r="E413" s="9"/>
      <c r="F413" s="9"/>
      <c r="G413" s="9"/>
      <c r="H413" s="9"/>
      <c r="I413" s="9"/>
      <c r="J413" s="9"/>
      <c r="K413" s="10"/>
      <c r="L413" s="10"/>
      <c r="M413" s="10"/>
      <c r="N413" s="10"/>
      <c r="O413" s="10"/>
      <c r="P413" s="10"/>
      <c r="Q413" s="10"/>
      <c r="R413" s="11"/>
    </row>
    <row r="414" spans="1:18" ht="12.75" hidden="1">
      <c r="A414" t="s">
        <v>347</v>
      </c>
      <c r="B414" t="s">
        <v>52</v>
      </c>
      <c r="C414" s="9">
        <v>700</v>
      </c>
      <c r="D414" s="9">
        <v>700</v>
      </c>
      <c r="E414" s="9"/>
      <c r="F414" s="10">
        <f>D414+E414</f>
        <v>700</v>
      </c>
      <c r="G414" s="10">
        <v>700</v>
      </c>
      <c r="H414" s="10">
        <v>700</v>
      </c>
      <c r="I414" s="9"/>
      <c r="J414" s="10">
        <f>H414+I414</f>
        <v>700</v>
      </c>
      <c r="K414" s="10">
        <v>700</v>
      </c>
      <c r="L414" s="10">
        <v>700</v>
      </c>
      <c r="M414" s="10">
        <v>700</v>
      </c>
      <c r="N414" s="10">
        <v>700</v>
      </c>
      <c r="O414" s="10"/>
      <c r="P414" s="10">
        <f>N414+O414</f>
        <v>700</v>
      </c>
      <c r="Q414" s="10">
        <f>P414-L414</f>
        <v>0</v>
      </c>
      <c r="R414" s="11">
        <f>Q414/L414</f>
        <v>0</v>
      </c>
    </row>
    <row r="415" spans="1:18" ht="12.75" hidden="1">
      <c r="A415" t="s">
        <v>348</v>
      </c>
      <c r="B415" t="s">
        <v>107</v>
      </c>
      <c r="C415" s="10">
        <f>5720+1000</f>
        <v>6720</v>
      </c>
      <c r="D415" s="10">
        <v>5220</v>
      </c>
      <c r="E415" s="10">
        <v>-220</v>
      </c>
      <c r="F415" s="10">
        <f>D415+E415</f>
        <v>5000</v>
      </c>
      <c r="G415" s="10">
        <v>6720</v>
      </c>
      <c r="H415" s="10">
        <v>5000</v>
      </c>
      <c r="I415" s="10"/>
      <c r="J415" s="10">
        <f>H415+I415</f>
        <v>5000</v>
      </c>
      <c r="K415" s="10">
        <v>5000</v>
      </c>
      <c r="L415" s="10">
        <v>5000</v>
      </c>
      <c r="M415" s="10">
        <v>8175</v>
      </c>
      <c r="N415" s="10">
        <v>6000</v>
      </c>
      <c r="O415" s="10"/>
      <c r="P415" s="10">
        <f>N415+O415</f>
        <v>6000</v>
      </c>
      <c r="Q415" s="10">
        <f>P415-L415</f>
        <v>1000</v>
      </c>
      <c r="R415" s="11">
        <f>Q415/L415</f>
        <v>0.2</v>
      </c>
    </row>
    <row r="416" spans="2:18" ht="12.75">
      <c r="B416" s="8" t="s">
        <v>53</v>
      </c>
      <c r="C416" s="12">
        <f aca="true" t="shared" si="146" ref="C416:Q416">SUM(C414:C415)</f>
        <v>7420</v>
      </c>
      <c r="D416" s="12">
        <f t="shared" si="146"/>
        <v>5920</v>
      </c>
      <c r="E416" s="12">
        <f t="shared" si="146"/>
        <v>-220</v>
      </c>
      <c r="F416" s="12">
        <f t="shared" si="146"/>
        <v>5700</v>
      </c>
      <c r="G416" s="12">
        <f t="shared" si="146"/>
        <v>7420</v>
      </c>
      <c r="H416" s="12">
        <f t="shared" si="146"/>
        <v>5700</v>
      </c>
      <c r="I416" s="12">
        <f t="shared" si="146"/>
        <v>0</v>
      </c>
      <c r="J416" s="12">
        <f t="shared" si="146"/>
        <v>5700</v>
      </c>
      <c r="K416" s="13">
        <f t="shared" si="146"/>
        <v>5700</v>
      </c>
      <c r="L416" s="13">
        <f t="shared" si="146"/>
        <v>5700</v>
      </c>
      <c r="M416" s="13">
        <f>SUM(M414:M415)</f>
        <v>8875</v>
      </c>
      <c r="N416" s="13">
        <f>SUM(N414:N415)</f>
        <v>6700</v>
      </c>
      <c r="O416" s="13">
        <f>SUM(O414:O415)</f>
        <v>0</v>
      </c>
      <c r="P416" s="13">
        <f>SUM(P414:P415)</f>
        <v>6700</v>
      </c>
      <c r="Q416" s="13">
        <f t="shared" si="146"/>
        <v>1000</v>
      </c>
      <c r="R416" s="14">
        <f>Q416/L416</f>
        <v>0.17543859649122806</v>
      </c>
    </row>
    <row r="417" spans="3:18" ht="12.75" hidden="1">
      <c r="C417" s="9"/>
      <c r="D417" s="9"/>
      <c r="E417" s="9"/>
      <c r="F417" s="9"/>
      <c r="G417" s="9"/>
      <c r="H417" s="9"/>
      <c r="I417" s="9"/>
      <c r="J417" s="9"/>
      <c r="K417" s="10"/>
      <c r="L417" s="10"/>
      <c r="M417" s="10"/>
      <c r="N417" s="10"/>
      <c r="O417" s="10"/>
      <c r="P417" s="10"/>
      <c r="Q417" s="10"/>
      <c r="R417" s="11"/>
    </row>
    <row r="418" spans="1:18" ht="12.75" hidden="1">
      <c r="A418" t="s">
        <v>349</v>
      </c>
      <c r="B418" t="s">
        <v>25</v>
      </c>
      <c r="C418" s="10">
        <v>979</v>
      </c>
      <c r="D418" s="10">
        <v>700</v>
      </c>
      <c r="E418" s="10">
        <v>-200</v>
      </c>
      <c r="F418" s="10">
        <f>D418+E418</f>
        <v>500</v>
      </c>
      <c r="G418" s="10"/>
      <c r="H418" s="10">
        <v>500</v>
      </c>
      <c r="I418" s="10"/>
      <c r="J418" s="10">
        <f>H418+I418</f>
        <v>500</v>
      </c>
      <c r="K418" s="10">
        <v>500</v>
      </c>
      <c r="L418" s="10">
        <v>500</v>
      </c>
      <c r="M418" s="10">
        <v>1200</v>
      </c>
      <c r="N418" s="10">
        <v>700</v>
      </c>
      <c r="O418" s="10"/>
      <c r="P418" s="10">
        <f>N418+O418</f>
        <v>700</v>
      </c>
      <c r="Q418" s="10">
        <f>P418-L418</f>
        <v>200</v>
      </c>
      <c r="R418" s="11">
        <f>Q418/L418</f>
        <v>0.4</v>
      </c>
    </row>
    <row r="419" spans="2:18" ht="12.75">
      <c r="B419" s="8" t="s">
        <v>27</v>
      </c>
      <c r="C419" s="12">
        <f aca="true" t="shared" si="147" ref="C419:Q419">SUM(C418)</f>
        <v>979</v>
      </c>
      <c r="D419" s="12">
        <f t="shared" si="147"/>
        <v>700</v>
      </c>
      <c r="E419" s="12">
        <f t="shared" si="147"/>
        <v>-200</v>
      </c>
      <c r="F419" s="12">
        <f t="shared" si="147"/>
        <v>500</v>
      </c>
      <c r="G419" s="12">
        <f t="shared" si="147"/>
        <v>0</v>
      </c>
      <c r="H419" s="12">
        <f t="shared" si="147"/>
        <v>500</v>
      </c>
      <c r="I419" s="12">
        <f t="shared" si="147"/>
        <v>0</v>
      </c>
      <c r="J419" s="12">
        <f t="shared" si="147"/>
        <v>500</v>
      </c>
      <c r="K419" s="13">
        <f t="shared" si="147"/>
        <v>500</v>
      </c>
      <c r="L419" s="13">
        <f t="shared" si="147"/>
        <v>500</v>
      </c>
      <c r="M419" s="13">
        <f>SUM(M418)</f>
        <v>1200</v>
      </c>
      <c r="N419" s="13">
        <f>SUM(N418)</f>
        <v>700</v>
      </c>
      <c r="O419" s="13">
        <f>SUM(O418)</f>
        <v>0</v>
      </c>
      <c r="P419" s="13">
        <f>SUM(P418)</f>
        <v>700</v>
      </c>
      <c r="Q419" s="13">
        <f t="shared" si="147"/>
        <v>200</v>
      </c>
      <c r="R419" s="14">
        <f>Q419/L419</f>
        <v>0.4</v>
      </c>
    </row>
    <row r="420" spans="2:18" ht="12.75" hidden="1">
      <c r="B420" s="8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4"/>
    </row>
    <row r="421" spans="2:18" ht="12.75" hidden="1">
      <c r="B421" s="8" t="s">
        <v>350</v>
      </c>
      <c r="C421" s="13"/>
      <c r="D421" s="13"/>
      <c r="E421" s="13"/>
      <c r="F421" s="13"/>
      <c r="G421" s="13">
        <v>10000</v>
      </c>
      <c r="H421" s="13">
        <v>10000</v>
      </c>
      <c r="I421" s="13"/>
      <c r="J421" s="10">
        <f>H421+I421</f>
        <v>10000</v>
      </c>
      <c r="K421" s="13">
        <v>10000</v>
      </c>
      <c r="L421" s="13">
        <v>10000</v>
      </c>
      <c r="M421" s="13">
        <v>10000</v>
      </c>
      <c r="N421" s="13">
        <v>10000</v>
      </c>
      <c r="O421" s="13"/>
      <c r="P421" s="10">
        <f>N421+O421</f>
        <v>10000</v>
      </c>
      <c r="Q421" s="10">
        <f>P421-L421</f>
        <v>0</v>
      </c>
      <c r="R421" s="11">
        <f>Q421/L421</f>
        <v>0</v>
      </c>
    </row>
    <row r="422" spans="2:18" ht="12.75">
      <c r="B422" s="8" t="s">
        <v>67</v>
      </c>
      <c r="C422" s="12">
        <f aca="true" t="shared" si="148" ref="C422:Q422">SUM(C421)</f>
        <v>0</v>
      </c>
      <c r="D422" s="12">
        <f t="shared" si="148"/>
        <v>0</v>
      </c>
      <c r="E422" s="12">
        <f t="shared" si="148"/>
        <v>0</v>
      </c>
      <c r="F422" s="12">
        <f t="shared" si="148"/>
        <v>0</v>
      </c>
      <c r="G422" s="12">
        <f t="shared" si="148"/>
        <v>10000</v>
      </c>
      <c r="H422" s="12">
        <f t="shared" si="148"/>
        <v>10000</v>
      </c>
      <c r="I422" s="12">
        <f t="shared" si="148"/>
        <v>0</v>
      </c>
      <c r="J422" s="12">
        <f t="shared" si="148"/>
        <v>10000</v>
      </c>
      <c r="K422" s="13">
        <f t="shared" si="148"/>
        <v>10000</v>
      </c>
      <c r="L422" s="13">
        <f t="shared" si="148"/>
        <v>10000</v>
      </c>
      <c r="M422" s="13">
        <f t="shared" si="148"/>
        <v>10000</v>
      </c>
      <c r="N422" s="13">
        <f t="shared" si="148"/>
        <v>10000</v>
      </c>
      <c r="O422" s="13">
        <f>SUM(O421)</f>
        <v>0</v>
      </c>
      <c r="P422" s="13">
        <f>SUM(P421)</f>
        <v>10000</v>
      </c>
      <c r="Q422" s="13">
        <f t="shared" si="148"/>
        <v>0</v>
      </c>
      <c r="R422" s="14">
        <f>Q422/L422</f>
        <v>0</v>
      </c>
    </row>
    <row r="423" spans="3:18" ht="12.75" hidden="1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5"/>
    </row>
    <row r="424" spans="1:18" s="16" customFormat="1" ht="12.75">
      <c r="A424" s="17"/>
      <c r="B424" s="17" t="s">
        <v>351</v>
      </c>
      <c r="C424" s="18">
        <f aca="true" t="shared" si="149" ref="C424:Q424">SUM(C419+C416+C412+C408+C422)</f>
        <v>63707</v>
      </c>
      <c r="D424" s="18">
        <f t="shared" si="149"/>
        <v>44850</v>
      </c>
      <c r="E424" s="18">
        <f t="shared" si="149"/>
        <v>-1320</v>
      </c>
      <c r="F424" s="18">
        <f t="shared" si="149"/>
        <v>43530</v>
      </c>
      <c r="G424" s="18">
        <f t="shared" si="149"/>
        <v>75248</v>
      </c>
      <c r="H424" s="18">
        <f t="shared" si="149"/>
        <v>57530</v>
      </c>
      <c r="I424" s="18">
        <f t="shared" si="149"/>
        <v>0</v>
      </c>
      <c r="J424" s="18">
        <f t="shared" si="149"/>
        <v>57530</v>
      </c>
      <c r="K424" s="18">
        <f t="shared" si="149"/>
        <v>57530</v>
      </c>
      <c r="L424" s="18">
        <f t="shared" si="149"/>
        <v>58530</v>
      </c>
      <c r="M424" s="18">
        <f t="shared" si="149"/>
        <v>64845</v>
      </c>
      <c r="N424" s="18">
        <f t="shared" si="149"/>
        <v>59730</v>
      </c>
      <c r="O424" s="18">
        <f>SUM(O419+O416+O412+O408+O422)</f>
        <v>0</v>
      </c>
      <c r="P424" s="18">
        <f>SUM(P419+P416+P412+P408+P422)</f>
        <v>59730</v>
      </c>
      <c r="Q424" s="18">
        <f t="shared" si="149"/>
        <v>1200</v>
      </c>
      <c r="R424" s="19">
        <f>Q424/L424</f>
        <v>0.020502306509482315</v>
      </c>
    </row>
    <row r="425" spans="1:17" ht="12.75">
      <c r="A425" s="8"/>
      <c r="B425" s="8"/>
      <c r="C425" s="9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9"/>
    </row>
    <row r="426" spans="1:16" ht="12.75" hidden="1">
      <c r="A426" s="8"/>
      <c r="B426" s="8" t="s">
        <v>352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8" ht="12.75" hidden="1">
      <c r="A427" s="8"/>
      <c r="B427" t="s">
        <v>353</v>
      </c>
      <c r="C427" s="26">
        <v>0</v>
      </c>
      <c r="D427" s="26">
        <v>0</v>
      </c>
      <c r="E427" s="26"/>
      <c r="F427" s="10">
        <f aca="true" t="shared" si="150" ref="F427:J428">D427+E427</f>
        <v>0</v>
      </c>
      <c r="G427" s="10">
        <f t="shared" si="150"/>
        <v>0</v>
      </c>
      <c r="H427" s="10">
        <f t="shared" si="150"/>
        <v>0</v>
      </c>
      <c r="I427" s="26"/>
      <c r="J427" s="10">
        <f t="shared" si="150"/>
        <v>0</v>
      </c>
      <c r="K427" s="10">
        <f>I427+J427</f>
        <v>0</v>
      </c>
      <c r="L427" s="10">
        <f>J427+K427</f>
        <v>0</v>
      </c>
      <c r="M427" s="10"/>
      <c r="N427" s="10"/>
      <c r="O427" s="10"/>
      <c r="P427" s="10"/>
      <c r="Q427" s="10">
        <f>H427-F427</f>
        <v>0</v>
      </c>
      <c r="R427" s="11" t="e">
        <f>Q427/F427</f>
        <v>#DIV/0!</v>
      </c>
    </row>
    <row r="428" spans="1:18" ht="12.75" hidden="1">
      <c r="A428" s="8"/>
      <c r="B428" t="s">
        <v>354</v>
      </c>
      <c r="C428" s="26">
        <v>0</v>
      </c>
      <c r="D428" s="26">
        <v>0</v>
      </c>
      <c r="E428" s="26"/>
      <c r="F428" s="10">
        <f t="shared" si="150"/>
        <v>0</v>
      </c>
      <c r="G428" s="10">
        <f t="shared" si="150"/>
        <v>0</v>
      </c>
      <c r="H428" s="10">
        <f t="shared" si="150"/>
        <v>0</v>
      </c>
      <c r="I428" s="26"/>
      <c r="J428" s="10">
        <f t="shared" si="150"/>
        <v>0</v>
      </c>
      <c r="K428" s="10">
        <f>I428+J428</f>
        <v>0</v>
      </c>
      <c r="L428" s="10">
        <f>J428+K428</f>
        <v>0</v>
      </c>
      <c r="M428" s="10"/>
      <c r="N428" s="10"/>
      <c r="O428" s="10"/>
      <c r="P428" s="10"/>
      <c r="Q428" s="10">
        <f>H428-F428</f>
        <v>0</v>
      </c>
      <c r="R428" s="11" t="e">
        <f>Q428/F428</f>
        <v>#DIV/0!</v>
      </c>
    </row>
    <row r="429" spans="1:18" ht="12.75" hidden="1">
      <c r="A429" s="8"/>
      <c r="B429" s="8" t="s">
        <v>20</v>
      </c>
      <c r="C429" s="12">
        <f aca="true" t="shared" si="151" ref="C429:Q429">SUM(C427:C428)</f>
        <v>0</v>
      </c>
      <c r="D429" s="12">
        <f t="shared" si="151"/>
        <v>0</v>
      </c>
      <c r="E429" s="12">
        <f t="shared" si="151"/>
        <v>0</v>
      </c>
      <c r="F429" s="12">
        <f t="shared" si="151"/>
        <v>0</v>
      </c>
      <c r="G429" s="12">
        <f t="shared" si="151"/>
        <v>0</v>
      </c>
      <c r="H429" s="12">
        <f t="shared" si="151"/>
        <v>0</v>
      </c>
      <c r="I429" s="12">
        <f t="shared" si="151"/>
        <v>0</v>
      </c>
      <c r="J429" s="12">
        <f t="shared" si="151"/>
        <v>0</v>
      </c>
      <c r="K429" s="12">
        <f>SUM(K427:K428)</f>
        <v>0</v>
      </c>
      <c r="L429" s="12">
        <f>SUM(L427:L428)</f>
        <v>0</v>
      </c>
      <c r="M429" s="12"/>
      <c r="N429" s="12"/>
      <c r="O429" s="12"/>
      <c r="P429" s="12"/>
      <c r="Q429" s="12">
        <f t="shared" si="151"/>
        <v>0</v>
      </c>
      <c r="R429" s="34" t="e">
        <f>Q429/F429</f>
        <v>#DIV/0!</v>
      </c>
    </row>
    <row r="430" spans="1:18" ht="12.75" hidden="1">
      <c r="A430" s="8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9"/>
      <c r="R430" s="7"/>
    </row>
    <row r="431" spans="1:18" ht="12.75" hidden="1">
      <c r="A431" s="8"/>
      <c r="B431" t="s">
        <v>355</v>
      </c>
      <c r="C431" s="26"/>
      <c r="D431" s="26"/>
      <c r="E431" s="26"/>
      <c r="F431" s="10">
        <f>D431+E431</f>
        <v>0</v>
      </c>
      <c r="G431" s="10">
        <f>E431+F431</f>
        <v>0</v>
      </c>
      <c r="H431" s="10">
        <f>F431+G431</f>
        <v>0</v>
      </c>
      <c r="I431" s="26"/>
      <c r="J431" s="10">
        <f>H431+I431</f>
        <v>0</v>
      </c>
      <c r="K431" s="10">
        <f>I431+J431</f>
        <v>0</v>
      </c>
      <c r="L431" s="10">
        <f>J431+K431</f>
        <v>0</v>
      </c>
      <c r="M431" s="10"/>
      <c r="N431" s="10"/>
      <c r="O431" s="10"/>
      <c r="P431" s="10"/>
      <c r="Q431" s="10">
        <f>H431-F431</f>
        <v>0</v>
      </c>
      <c r="R431" s="11" t="e">
        <f>Q431/F431</f>
        <v>#DIV/0!</v>
      </c>
    </row>
    <row r="432" spans="1:18" ht="12.75" hidden="1">
      <c r="A432" s="8"/>
      <c r="B432" s="8" t="s">
        <v>23</v>
      </c>
      <c r="C432" s="12">
        <f aca="true" t="shared" si="152" ref="C432:Q432">SUM(C431)</f>
        <v>0</v>
      </c>
      <c r="D432" s="12">
        <f t="shared" si="152"/>
        <v>0</v>
      </c>
      <c r="E432" s="12">
        <f t="shared" si="152"/>
        <v>0</v>
      </c>
      <c r="F432" s="12">
        <f t="shared" si="152"/>
        <v>0</v>
      </c>
      <c r="G432" s="12">
        <f t="shared" si="152"/>
        <v>0</v>
      </c>
      <c r="H432" s="12">
        <f t="shared" si="152"/>
        <v>0</v>
      </c>
      <c r="I432" s="12">
        <f t="shared" si="152"/>
        <v>0</v>
      </c>
      <c r="J432" s="12">
        <f t="shared" si="152"/>
        <v>0</v>
      </c>
      <c r="K432" s="12">
        <f>SUM(K431)</f>
        <v>0</v>
      </c>
      <c r="L432" s="12">
        <f>SUM(L431)</f>
        <v>0</v>
      </c>
      <c r="M432" s="12"/>
      <c r="N432" s="12"/>
      <c r="O432" s="12"/>
      <c r="P432" s="12"/>
      <c r="Q432" s="12">
        <f t="shared" si="152"/>
        <v>0</v>
      </c>
      <c r="R432" s="34" t="e">
        <f>Q432/F432</f>
        <v>#DIV/0!</v>
      </c>
    </row>
    <row r="433" spans="1:18" ht="12.75" hidden="1">
      <c r="A433" s="8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9"/>
      <c r="R433" s="7"/>
    </row>
    <row r="434" spans="1:18" ht="12.75" hidden="1">
      <c r="A434" s="8"/>
      <c r="B434" t="s">
        <v>52</v>
      </c>
      <c r="C434" s="26">
        <v>0</v>
      </c>
      <c r="D434" s="26">
        <v>0</v>
      </c>
      <c r="E434" s="26"/>
      <c r="F434" s="10">
        <f aca="true" t="shared" si="153" ref="F434:J435">D434+E434</f>
        <v>0</v>
      </c>
      <c r="G434" s="10">
        <f t="shared" si="153"/>
        <v>0</v>
      </c>
      <c r="H434" s="10">
        <f t="shared" si="153"/>
        <v>0</v>
      </c>
      <c r="I434" s="26"/>
      <c r="J434" s="10">
        <f t="shared" si="153"/>
        <v>0</v>
      </c>
      <c r="K434" s="10">
        <f>I434+J434</f>
        <v>0</v>
      </c>
      <c r="L434" s="10">
        <f>J434+K434</f>
        <v>0</v>
      </c>
      <c r="M434" s="10"/>
      <c r="N434" s="10"/>
      <c r="O434" s="10"/>
      <c r="P434" s="10"/>
      <c r="Q434" s="10">
        <f>H434-F434</f>
        <v>0</v>
      </c>
      <c r="R434" s="11" t="e">
        <f>Q434/F434</f>
        <v>#DIV/0!</v>
      </c>
    </row>
    <row r="435" spans="1:18" ht="12.75" hidden="1">
      <c r="A435" s="8"/>
      <c r="B435" t="s">
        <v>107</v>
      </c>
      <c r="C435" s="26">
        <v>0</v>
      </c>
      <c r="D435" s="26">
        <v>0</v>
      </c>
      <c r="E435" s="26"/>
      <c r="F435" s="10">
        <f t="shared" si="153"/>
        <v>0</v>
      </c>
      <c r="G435" s="10">
        <f t="shared" si="153"/>
        <v>0</v>
      </c>
      <c r="H435" s="10">
        <f t="shared" si="153"/>
        <v>0</v>
      </c>
      <c r="I435" s="26"/>
      <c r="J435" s="10">
        <f t="shared" si="153"/>
        <v>0</v>
      </c>
      <c r="K435" s="10">
        <f>I435+J435</f>
        <v>0</v>
      </c>
      <c r="L435" s="10">
        <f>J435+K435</f>
        <v>0</v>
      </c>
      <c r="M435" s="10"/>
      <c r="N435" s="10"/>
      <c r="O435" s="10"/>
      <c r="P435" s="10"/>
      <c r="Q435" s="10">
        <f>H435-F435</f>
        <v>0</v>
      </c>
      <c r="R435" s="11" t="e">
        <f>Q435/F435</f>
        <v>#DIV/0!</v>
      </c>
    </row>
    <row r="436" spans="1:18" ht="12.75" hidden="1">
      <c r="A436" s="8"/>
      <c r="B436" s="8" t="s">
        <v>53</v>
      </c>
      <c r="C436" s="12">
        <f aca="true" t="shared" si="154" ref="C436:Q436">SUM(C434:C435)</f>
        <v>0</v>
      </c>
      <c r="D436" s="12">
        <f t="shared" si="154"/>
        <v>0</v>
      </c>
      <c r="E436" s="12">
        <f t="shared" si="154"/>
        <v>0</v>
      </c>
      <c r="F436" s="12">
        <f t="shared" si="154"/>
        <v>0</v>
      </c>
      <c r="G436" s="12">
        <f t="shared" si="154"/>
        <v>0</v>
      </c>
      <c r="H436" s="12">
        <f t="shared" si="154"/>
        <v>0</v>
      </c>
      <c r="I436" s="12">
        <f t="shared" si="154"/>
        <v>0</v>
      </c>
      <c r="J436" s="12">
        <f t="shared" si="154"/>
        <v>0</v>
      </c>
      <c r="K436" s="12">
        <f>SUM(K434:K435)</f>
        <v>0</v>
      </c>
      <c r="L436" s="12">
        <f>SUM(L434:L435)</f>
        <v>0</v>
      </c>
      <c r="M436" s="12"/>
      <c r="N436" s="12"/>
      <c r="O436" s="12"/>
      <c r="P436" s="12"/>
      <c r="Q436" s="12">
        <f t="shared" si="154"/>
        <v>0</v>
      </c>
      <c r="R436" s="34" t="e">
        <f>Q436/F436</f>
        <v>#DIV/0!</v>
      </c>
    </row>
    <row r="437" spans="1:18" ht="12.75" hidden="1">
      <c r="A437" s="8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9"/>
      <c r="R437" s="7"/>
    </row>
    <row r="438" spans="2:18" ht="12.75" hidden="1">
      <c r="B438" t="s">
        <v>25</v>
      </c>
      <c r="C438" s="20"/>
      <c r="D438" s="20"/>
      <c r="E438" s="20"/>
      <c r="F438" s="10">
        <f>D438+E438</f>
        <v>0</v>
      </c>
      <c r="G438" s="10">
        <f>E438+F438</f>
        <v>0</v>
      </c>
      <c r="H438" s="10">
        <f>F438+G438</f>
        <v>0</v>
      </c>
      <c r="I438" s="20"/>
      <c r="J438" s="10">
        <f>H438+I438</f>
        <v>0</v>
      </c>
      <c r="K438" s="10">
        <f>I438+J438</f>
        <v>0</v>
      </c>
      <c r="L438" s="10">
        <f>J438+K438</f>
        <v>0</v>
      </c>
      <c r="M438" s="10"/>
      <c r="N438" s="10"/>
      <c r="O438" s="10"/>
      <c r="P438" s="10"/>
      <c r="Q438" s="10">
        <f>H438-F438</f>
        <v>0</v>
      </c>
      <c r="R438" s="11" t="e">
        <f>Q438/F438</f>
        <v>#DIV/0!</v>
      </c>
    </row>
    <row r="439" spans="2:18" ht="12.75" hidden="1">
      <c r="B439" s="8" t="s">
        <v>27</v>
      </c>
      <c r="C439" s="12">
        <f aca="true" t="shared" si="155" ref="C439:Q439">SUM(C438)</f>
        <v>0</v>
      </c>
      <c r="D439" s="12">
        <f t="shared" si="155"/>
        <v>0</v>
      </c>
      <c r="E439" s="12">
        <f t="shared" si="155"/>
        <v>0</v>
      </c>
      <c r="F439" s="12">
        <f t="shared" si="155"/>
        <v>0</v>
      </c>
      <c r="G439" s="12">
        <f t="shared" si="155"/>
        <v>0</v>
      </c>
      <c r="H439" s="12">
        <f t="shared" si="155"/>
        <v>0</v>
      </c>
      <c r="I439" s="12">
        <f t="shared" si="155"/>
        <v>0</v>
      </c>
      <c r="J439" s="12">
        <f t="shared" si="155"/>
        <v>0</v>
      </c>
      <c r="K439" s="12">
        <f>SUM(K438)</f>
        <v>0</v>
      </c>
      <c r="L439" s="12">
        <f>SUM(L438)</f>
        <v>0</v>
      </c>
      <c r="M439" s="12"/>
      <c r="N439" s="12"/>
      <c r="O439" s="12"/>
      <c r="P439" s="12"/>
      <c r="Q439" s="12">
        <f t="shared" si="155"/>
        <v>0</v>
      </c>
      <c r="R439" s="34" t="e">
        <f>Q439/F439</f>
        <v>#DIV/0!</v>
      </c>
    </row>
    <row r="440" spans="3:18" ht="12.75" hidden="1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7"/>
    </row>
    <row r="441" spans="2:18" s="16" customFormat="1" ht="12.75" hidden="1">
      <c r="B441" s="17" t="s">
        <v>356</v>
      </c>
      <c r="C441" s="18">
        <f aca="true" t="shared" si="156" ref="C441:Q441">C429+C432+C436+C439</f>
        <v>0</v>
      </c>
      <c r="D441" s="18">
        <f t="shared" si="156"/>
        <v>0</v>
      </c>
      <c r="E441" s="18">
        <f t="shared" si="156"/>
        <v>0</v>
      </c>
      <c r="F441" s="18">
        <f t="shared" si="156"/>
        <v>0</v>
      </c>
      <c r="G441" s="18">
        <f t="shared" si="156"/>
        <v>0</v>
      </c>
      <c r="H441" s="18">
        <f t="shared" si="156"/>
        <v>0</v>
      </c>
      <c r="I441" s="18">
        <f t="shared" si="156"/>
        <v>0</v>
      </c>
      <c r="J441" s="18">
        <f t="shared" si="156"/>
        <v>0</v>
      </c>
      <c r="K441" s="18">
        <f>K429+K432+K436+K439</f>
        <v>0</v>
      </c>
      <c r="L441" s="18">
        <f>L429+L432+L436+L439</f>
        <v>0</v>
      </c>
      <c r="M441" s="18"/>
      <c r="N441" s="18"/>
      <c r="O441" s="18"/>
      <c r="P441" s="18"/>
      <c r="Q441" s="18">
        <f t="shared" si="156"/>
        <v>0</v>
      </c>
      <c r="R441" s="19" t="e">
        <f>Q441/F441</f>
        <v>#DIV/0!</v>
      </c>
    </row>
    <row r="442" spans="2:16" ht="12.75" hidden="1">
      <c r="B442" s="8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4" spans="1:16" ht="12.75">
      <c r="A444" s="8"/>
      <c r="B444" s="8" t="s">
        <v>357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8" ht="12.75">
      <c r="A445" t="s">
        <v>358</v>
      </c>
      <c r="B445" s="8" t="s">
        <v>359</v>
      </c>
      <c r="C445" s="9">
        <v>8723312</v>
      </c>
      <c r="D445" s="9">
        <v>8723312</v>
      </c>
      <c r="E445" s="9"/>
      <c r="F445" s="10">
        <f>D445+E445</f>
        <v>8723312</v>
      </c>
      <c r="G445" s="10">
        <f>F445*1.03</f>
        <v>8985011.36</v>
      </c>
      <c r="H445" s="10">
        <v>8938266</v>
      </c>
      <c r="I445" s="9"/>
      <c r="J445" s="10">
        <f>H445+I445</f>
        <v>8938266</v>
      </c>
      <c r="K445" s="10">
        <v>9403600</v>
      </c>
      <c r="L445" s="10">
        <v>9197221</v>
      </c>
      <c r="M445" s="10">
        <v>9578230</v>
      </c>
      <c r="N445" s="10">
        <v>9487410</v>
      </c>
      <c r="O445" s="10"/>
      <c r="P445" s="10">
        <f>N445+O445</f>
        <v>9487410</v>
      </c>
      <c r="Q445" s="10">
        <f>P445-L445</f>
        <v>290189</v>
      </c>
      <c r="R445" s="11">
        <f>Q445/L445</f>
        <v>0.03155181331404345</v>
      </c>
    </row>
    <row r="446" spans="1:18" s="16" customFormat="1" ht="12.75" hidden="1">
      <c r="A446" s="17"/>
      <c r="B446" s="17" t="s">
        <v>360</v>
      </c>
      <c r="C446" s="18">
        <f aca="true" t="shared" si="157" ref="C446:Q446">C445</f>
        <v>8723312</v>
      </c>
      <c r="D446" s="18">
        <f t="shared" si="157"/>
        <v>8723312</v>
      </c>
      <c r="E446" s="18">
        <f t="shared" si="157"/>
        <v>0</v>
      </c>
      <c r="F446" s="18">
        <f t="shared" si="157"/>
        <v>8723312</v>
      </c>
      <c r="G446" s="18">
        <f t="shared" si="157"/>
        <v>8985011.36</v>
      </c>
      <c r="H446" s="18">
        <f t="shared" si="157"/>
        <v>8938266</v>
      </c>
      <c r="I446" s="18">
        <f t="shared" si="157"/>
        <v>0</v>
      </c>
      <c r="J446" s="18">
        <f t="shared" si="157"/>
        <v>8938266</v>
      </c>
      <c r="K446" s="18">
        <f t="shared" si="157"/>
        <v>9403600</v>
      </c>
      <c r="L446" s="18">
        <f t="shared" si="157"/>
        <v>9197221</v>
      </c>
      <c r="M446" s="18">
        <f>M445</f>
        <v>9578230</v>
      </c>
      <c r="N446" s="18">
        <f>N445</f>
        <v>9487410</v>
      </c>
      <c r="O446" s="18">
        <f>O445</f>
        <v>0</v>
      </c>
      <c r="P446" s="18">
        <f>P445</f>
        <v>9487410</v>
      </c>
      <c r="Q446" s="18">
        <f t="shared" si="157"/>
        <v>290189</v>
      </c>
      <c r="R446" s="19">
        <f>Q446/L446</f>
        <v>0.03155181331404345</v>
      </c>
    </row>
    <row r="447" spans="2:17" ht="12.75" hidden="1">
      <c r="B447" s="8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1:16" ht="12.75" hidden="1">
      <c r="A448" s="8"/>
      <c r="B448" s="8" t="s">
        <v>361</v>
      </c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1:18" ht="12.75">
      <c r="A449" t="s">
        <v>362</v>
      </c>
      <c r="B449" s="8" t="s">
        <v>361</v>
      </c>
      <c r="C449" s="9">
        <v>662383</v>
      </c>
      <c r="D449" s="9">
        <v>610974</v>
      </c>
      <c r="E449" s="9"/>
      <c r="F449" s="10">
        <f>D449+E449</f>
        <v>610974</v>
      </c>
      <c r="G449" s="10">
        <v>690013</v>
      </c>
      <c r="H449" s="10">
        <v>690013</v>
      </c>
      <c r="I449" s="9"/>
      <c r="J449" s="10">
        <f>H449+I449</f>
        <v>690013</v>
      </c>
      <c r="K449" s="10">
        <f>690013-25823</f>
        <v>664190</v>
      </c>
      <c r="L449" s="10">
        <f>690013-25823</f>
        <v>664190</v>
      </c>
      <c r="M449" s="10">
        <f>(664190*1.05)</f>
        <v>697399.5</v>
      </c>
      <c r="N449" s="10">
        <f>646433+16145</f>
        <v>662578</v>
      </c>
      <c r="O449" s="10"/>
      <c r="P449" s="10">
        <f>N449+O449</f>
        <v>662578</v>
      </c>
      <c r="Q449" s="10">
        <f>P449-L449</f>
        <v>-1612</v>
      </c>
      <c r="R449" s="11">
        <f>Q449/L449</f>
        <v>-0.002427016365798943</v>
      </c>
    </row>
    <row r="450" spans="2:18" s="16" customFormat="1" ht="12.75" hidden="1">
      <c r="B450" s="17" t="s">
        <v>363</v>
      </c>
      <c r="C450" s="18">
        <f>C449</f>
        <v>662383</v>
      </c>
      <c r="D450" s="18">
        <f>D449</f>
        <v>610974</v>
      </c>
      <c r="E450" s="18"/>
      <c r="F450" s="18">
        <f>F449</f>
        <v>610974</v>
      </c>
      <c r="G450" s="18">
        <f>G449</f>
        <v>690013</v>
      </c>
      <c r="H450" s="18">
        <f>H449</f>
        <v>690013</v>
      </c>
      <c r="I450" s="18"/>
      <c r="J450" s="18">
        <f aca="true" t="shared" si="158" ref="J450:Q450">J449</f>
        <v>690013</v>
      </c>
      <c r="K450" s="18">
        <f t="shared" si="158"/>
        <v>664190</v>
      </c>
      <c r="L450" s="18">
        <f t="shared" si="158"/>
        <v>664190</v>
      </c>
      <c r="M450" s="18">
        <f t="shared" si="158"/>
        <v>697399.5</v>
      </c>
      <c r="N450" s="18">
        <f t="shared" si="158"/>
        <v>662578</v>
      </c>
      <c r="O450" s="18">
        <f>O449</f>
        <v>0</v>
      </c>
      <c r="P450" s="18">
        <f>P449</f>
        <v>662578</v>
      </c>
      <c r="Q450" s="18">
        <f t="shared" si="158"/>
        <v>-1612</v>
      </c>
      <c r="R450" s="19">
        <f>Q450/L450</f>
        <v>-0.002427016365798943</v>
      </c>
    </row>
    <row r="451" spans="2:18" s="16" customFormat="1" ht="12.75" hidden="1">
      <c r="B451" s="17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7"/>
    </row>
    <row r="452" spans="2:18" s="16" customFormat="1" ht="12.75">
      <c r="B452" s="17" t="s">
        <v>364</v>
      </c>
      <c r="C452" s="36">
        <f aca="true" t="shared" si="159" ref="C452:Q452">C446+C450</f>
        <v>9385695</v>
      </c>
      <c r="D452" s="36">
        <f t="shared" si="159"/>
        <v>9334286</v>
      </c>
      <c r="E452" s="36">
        <f t="shared" si="159"/>
        <v>0</v>
      </c>
      <c r="F452" s="36">
        <f t="shared" si="159"/>
        <v>9334286</v>
      </c>
      <c r="G452" s="36">
        <f t="shared" si="159"/>
        <v>9675024.36</v>
      </c>
      <c r="H452" s="36">
        <f t="shared" si="159"/>
        <v>9628279</v>
      </c>
      <c r="I452" s="36">
        <f t="shared" si="159"/>
        <v>0</v>
      </c>
      <c r="J452" s="36">
        <f t="shared" si="159"/>
        <v>9628279</v>
      </c>
      <c r="K452" s="18">
        <f t="shared" si="159"/>
        <v>10067790</v>
      </c>
      <c r="L452" s="18">
        <f t="shared" si="159"/>
        <v>9861411</v>
      </c>
      <c r="M452" s="18">
        <f>M446+M450</f>
        <v>10275629.5</v>
      </c>
      <c r="N452" s="18">
        <f>N446+N450</f>
        <v>10149988</v>
      </c>
      <c r="O452" s="18">
        <f>O446+O450</f>
        <v>0</v>
      </c>
      <c r="P452" s="18">
        <f>P446+P450</f>
        <v>10149988</v>
      </c>
      <c r="Q452" s="18">
        <f t="shared" si="159"/>
        <v>288577</v>
      </c>
      <c r="R452" s="19">
        <f>Q452/L452</f>
        <v>0.029263256546147403</v>
      </c>
    </row>
    <row r="453" spans="3:17" ht="12.7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9"/>
    </row>
    <row r="454" spans="2:18" ht="12.75">
      <c r="B454" s="8" t="s">
        <v>365</v>
      </c>
      <c r="C454" s="9"/>
      <c r="D454" s="9"/>
      <c r="E454" s="9"/>
      <c r="F454" s="9"/>
      <c r="G454" s="9"/>
      <c r="H454" s="9"/>
      <c r="I454" s="9"/>
      <c r="J454" s="9"/>
      <c r="K454" s="10"/>
      <c r="L454" s="10"/>
      <c r="M454" s="10"/>
      <c r="N454" s="10"/>
      <c r="O454" s="10"/>
      <c r="P454" s="10"/>
      <c r="Q454" s="28"/>
      <c r="R454" s="28"/>
    </row>
    <row r="455" spans="2:18" ht="12.75" hidden="1">
      <c r="B455" t="s">
        <v>366</v>
      </c>
      <c r="C455" s="9">
        <v>91604</v>
      </c>
      <c r="D455" s="9">
        <v>91604</v>
      </c>
      <c r="E455" s="9"/>
      <c r="F455" s="10">
        <f aca="true" t="shared" si="160" ref="F455:F466">D455+E455</f>
        <v>91604</v>
      </c>
      <c r="G455" s="10">
        <v>91604</v>
      </c>
      <c r="H455" s="10">
        <v>91604</v>
      </c>
      <c r="I455" s="9"/>
      <c r="J455" s="10">
        <f aca="true" t="shared" si="161" ref="J455:J466">H455+I455</f>
        <v>91604</v>
      </c>
      <c r="K455" s="10">
        <v>97180</v>
      </c>
      <c r="L455" s="10">
        <v>97180</v>
      </c>
      <c r="M455" s="10">
        <v>97180</v>
      </c>
      <c r="N455" s="10">
        <v>97180</v>
      </c>
      <c r="O455" s="10"/>
      <c r="P455" s="10">
        <f aca="true" t="shared" si="162" ref="P455:P466">N455+O455</f>
        <v>97180</v>
      </c>
      <c r="Q455" s="10">
        <f aca="true" t="shared" si="163" ref="Q455:Q466">P455-L455</f>
        <v>0</v>
      </c>
      <c r="R455" s="11">
        <f aca="true" t="shared" si="164" ref="R455:R466">Q455/L455</f>
        <v>0</v>
      </c>
    </row>
    <row r="456" spans="2:18" ht="12.75" hidden="1">
      <c r="B456" t="s">
        <v>367</v>
      </c>
      <c r="C456" s="9">
        <v>187867</v>
      </c>
      <c r="D456" s="9">
        <f>187867-11280</f>
        <v>176587</v>
      </c>
      <c r="E456" s="9"/>
      <c r="F456" s="10">
        <f t="shared" si="160"/>
        <v>176587</v>
      </c>
      <c r="G456" s="10">
        <v>187868</v>
      </c>
      <c r="H456" s="10">
        <v>187868</v>
      </c>
      <c r="I456" s="9"/>
      <c r="J456" s="10">
        <f t="shared" si="161"/>
        <v>187868</v>
      </c>
      <c r="K456" s="10">
        <v>194033</v>
      </c>
      <c r="L456" s="10">
        <v>194033</v>
      </c>
      <c r="M456" s="10">
        <v>194033</v>
      </c>
      <c r="N456" s="10">
        <v>233137</v>
      </c>
      <c r="O456" s="10">
        <v>-8320</v>
      </c>
      <c r="P456" s="10">
        <f t="shared" si="162"/>
        <v>224817</v>
      </c>
      <c r="Q456" s="10">
        <f t="shared" si="163"/>
        <v>30784</v>
      </c>
      <c r="R456" s="11">
        <f t="shared" si="164"/>
        <v>0.15865342493287224</v>
      </c>
    </row>
    <row r="457" spans="2:18" ht="12.75" hidden="1">
      <c r="B457" t="s">
        <v>368</v>
      </c>
      <c r="C457" s="9">
        <v>69431</v>
      </c>
      <c r="D457" s="9">
        <v>69431</v>
      </c>
      <c r="E457" s="9"/>
      <c r="F457" s="10">
        <f t="shared" si="160"/>
        <v>69431</v>
      </c>
      <c r="G457" s="10">
        <v>69431</v>
      </c>
      <c r="H457" s="10">
        <v>69431</v>
      </c>
      <c r="I457" s="9"/>
      <c r="J457" s="10">
        <f t="shared" si="161"/>
        <v>69431</v>
      </c>
      <c r="K457" s="10">
        <v>73657</v>
      </c>
      <c r="L457" s="10">
        <v>73657</v>
      </c>
      <c r="M457" s="10">
        <v>73657</v>
      </c>
      <c r="N457" s="10">
        <v>73657</v>
      </c>
      <c r="O457" s="10"/>
      <c r="P457" s="10">
        <f t="shared" si="162"/>
        <v>73657</v>
      </c>
      <c r="Q457" s="10">
        <f t="shared" si="163"/>
        <v>0</v>
      </c>
      <c r="R457" s="11">
        <f t="shared" si="164"/>
        <v>0</v>
      </c>
    </row>
    <row r="458" spans="2:18" ht="12.75" hidden="1">
      <c r="B458" s="20" t="s">
        <v>369</v>
      </c>
      <c r="C458" s="9">
        <v>14400</v>
      </c>
      <c r="D458" s="9">
        <v>0</v>
      </c>
      <c r="E458" s="9"/>
      <c r="F458" s="10">
        <f t="shared" si="160"/>
        <v>0</v>
      </c>
      <c r="G458" s="10">
        <v>14400</v>
      </c>
      <c r="H458" s="10">
        <v>0</v>
      </c>
      <c r="I458" s="9"/>
      <c r="J458" s="10">
        <f t="shared" si="161"/>
        <v>0</v>
      </c>
      <c r="K458" s="10">
        <v>2250</v>
      </c>
      <c r="L458" s="10">
        <v>2250</v>
      </c>
      <c r="M458" s="10">
        <v>2250</v>
      </c>
      <c r="N458" s="10">
        <v>0</v>
      </c>
      <c r="O458" s="10"/>
      <c r="P458" s="10">
        <f t="shared" si="162"/>
        <v>0</v>
      </c>
      <c r="Q458" s="10">
        <f t="shared" si="163"/>
        <v>-2250</v>
      </c>
      <c r="R458" s="11">
        <f t="shared" si="164"/>
        <v>-1</v>
      </c>
    </row>
    <row r="459" spans="1:18" ht="12.75" hidden="1">
      <c r="A459" t="s">
        <v>370</v>
      </c>
      <c r="B459" t="s">
        <v>371</v>
      </c>
      <c r="C459" s="9">
        <v>37493</v>
      </c>
      <c r="D459" s="9">
        <v>37493</v>
      </c>
      <c r="E459" s="9"/>
      <c r="F459" s="10">
        <f t="shared" si="160"/>
        <v>37493</v>
      </c>
      <c r="G459" s="10">
        <v>37492</v>
      </c>
      <c r="H459" s="10">
        <v>37492</v>
      </c>
      <c r="I459" s="9"/>
      <c r="J459" s="10">
        <f t="shared" si="161"/>
        <v>37492</v>
      </c>
      <c r="K459" s="10">
        <v>39775</v>
      </c>
      <c r="L459" s="10">
        <v>39775</v>
      </c>
      <c r="M459" s="10">
        <v>39775</v>
      </c>
      <c r="N459" s="10">
        <v>39775</v>
      </c>
      <c r="O459" s="10"/>
      <c r="P459" s="10">
        <f t="shared" si="162"/>
        <v>39775</v>
      </c>
      <c r="Q459" s="10">
        <f t="shared" si="163"/>
        <v>0</v>
      </c>
      <c r="R459" s="11">
        <f t="shared" si="164"/>
        <v>0</v>
      </c>
    </row>
    <row r="460" spans="1:18" ht="12.75" hidden="1">
      <c r="A460" t="s">
        <v>372</v>
      </c>
      <c r="B460" s="20" t="s">
        <v>373</v>
      </c>
      <c r="C460" s="9"/>
      <c r="D460" s="9"/>
      <c r="E460" s="9"/>
      <c r="F460" s="10">
        <f t="shared" si="160"/>
        <v>0</v>
      </c>
      <c r="G460" s="31">
        <v>5000</v>
      </c>
      <c r="H460" s="31">
        <v>0</v>
      </c>
      <c r="I460" s="9"/>
      <c r="J460" s="10">
        <f t="shared" si="161"/>
        <v>0</v>
      </c>
      <c r="K460" s="31">
        <v>5000</v>
      </c>
      <c r="L460" s="31">
        <v>0</v>
      </c>
      <c r="M460" s="31">
        <f>5000+10560</f>
        <v>15560</v>
      </c>
      <c r="N460" s="31">
        <v>0</v>
      </c>
      <c r="O460" s="31"/>
      <c r="P460" s="10">
        <f t="shared" si="162"/>
        <v>0</v>
      </c>
      <c r="Q460" s="10">
        <f t="shared" si="163"/>
        <v>0</v>
      </c>
      <c r="R460" s="11" t="e">
        <f t="shared" si="164"/>
        <v>#DIV/0!</v>
      </c>
    </row>
    <row r="461" spans="1:18" ht="12.75" hidden="1">
      <c r="A461" t="s">
        <v>374</v>
      </c>
      <c r="B461" t="s">
        <v>375</v>
      </c>
      <c r="C461" s="9">
        <v>14420</v>
      </c>
      <c r="D461" s="9">
        <v>12420</v>
      </c>
      <c r="E461" s="9"/>
      <c r="F461" s="10">
        <f t="shared" si="160"/>
        <v>12420</v>
      </c>
      <c r="G461" s="10">
        <v>14420</v>
      </c>
      <c r="H461" s="10">
        <v>14420</v>
      </c>
      <c r="I461" s="9"/>
      <c r="J461" s="10">
        <f t="shared" si="161"/>
        <v>14420</v>
      </c>
      <c r="K461" s="10">
        <v>14900</v>
      </c>
      <c r="L461" s="10">
        <v>14900</v>
      </c>
      <c r="M461" s="10">
        <v>17150</v>
      </c>
      <c r="N461" s="10">
        <v>17150</v>
      </c>
      <c r="O461" s="10"/>
      <c r="P461" s="10">
        <f t="shared" si="162"/>
        <v>17150</v>
      </c>
      <c r="Q461" s="10">
        <f t="shared" si="163"/>
        <v>2250</v>
      </c>
      <c r="R461" s="11">
        <f t="shared" si="164"/>
        <v>0.15100671140939598</v>
      </c>
    </row>
    <row r="462" spans="1:18" ht="12.75" hidden="1">
      <c r="A462" t="s">
        <v>376</v>
      </c>
      <c r="B462" t="s">
        <v>377</v>
      </c>
      <c r="C462" s="9">
        <v>30000</v>
      </c>
      <c r="D462" s="9">
        <v>30000</v>
      </c>
      <c r="E462" s="9"/>
      <c r="F462" s="10">
        <f t="shared" si="160"/>
        <v>30000</v>
      </c>
      <c r="G462" s="10">
        <v>30000</v>
      </c>
      <c r="H462" s="10">
        <v>30000</v>
      </c>
      <c r="I462" s="9"/>
      <c r="J462" s="10">
        <f t="shared" si="161"/>
        <v>30000</v>
      </c>
      <c r="K462" s="10">
        <v>30000</v>
      </c>
      <c r="L462" s="10">
        <v>30000</v>
      </c>
      <c r="M462" s="10">
        <v>30000</v>
      </c>
      <c r="N462" s="10">
        <v>30000</v>
      </c>
      <c r="O462" s="10"/>
      <c r="P462" s="10">
        <f t="shared" si="162"/>
        <v>30000</v>
      </c>
      <c r="Q462" s="10">
        <f t="shared" si="163"/>
        <v>0</v>
      </c>
      <c r="R462" s="11">
        <f t="shared" si="164"/>
        <v>0</v>
      </c>
    </row>
    <row r="463" spans="1:18" ht="12.75" hidden="1">
      <c r="A463" t="s">
        <v>378</v>
      </c>
      <c r="B463" t="s">
        <v>379</v>
      </c>
      <c r="C463" s="9">
        <v>11700</v>
      </c>
      <c r="D463" s="9">
        <v>11700</v>
      </c>
      <c r="E463" s="9"/>
      <c r="F463" s="10">
        <f t="shared" si="160"/>
        <v>11700</v>
      </c>
      <c r="G463" s="10">
        <v>11700</v>
      </c>
      <c r="H463" s="10">
        <v>11700</v>
      </c>
      <c r="I463" s="9"/>
      <c r="J463" s="10">
        <f t="shared" si="161"/>
        <v>11700</v>
      </c>
      <c r="K463" s="10">
        <v>14300</v>
      </c>
      <c r="L463" s="10">
        <v>14300</v>
      </c>
      <c r="M463" s="10">
        <v>14300</v>
      </c>
      <c r="N463" s="10">
        <v>14300</v>
      </c>
      <c r="O463" s="10"/>
      <c r="P463" s="10">
        <f t="shared" si="162"/>
        <v>14300</v>
      </c>
      <c r="Q463" s="10">
        <f t="shared" si="163"/>
        <v>0</v>
      </c>
      <c r="R463" s="11">
        <f t="shared" si="164"/>
        <v>0</v>
      </c>
    </row>
    <row r="464" spans="2:18" ht="12.75" hidden="1">
      <c r="B464" t="s">
        <v>76</v>
      </c>
      <c r="C464" s="10">
        <v>1000</v>
      </c>
      <c r="D464" s="10">
        <v>1000</v>
      </c>
      <c r="E464" s="10"/>
      <c r="F464" s="10">
        <f t="shared" si="160"/>
        <v>1000</v>
      </c>
      <c r="G464" s="10">
        <v>1000</v>
      </c>
      <c r="H464" s="10">
        <v>1000</v>
      </c>
      <c r="I464" s="10"/>
      <c r="J464" s="10">
        <f t="shared" si="161"/>
        <v>1000</v>
      </c>
      <c r="K464" s="10">
        <v>1000</v>
      </c>
      <c r="L464" s="10">
        <v>1000</v>
      </c>
      <c r="M464" s="10">
        <v>1000</v>
      </c>
      <c r="N464" s="10">
        <v>1000</v>
      </c>
      <c r="O464" s="10"/>
      <c r="P464" s="10">
        <f t="shared" si="162"/>
        <v>1000</v>
      </c>
      <c r="Q464" s="10">
        <f t="shared" si="163"/>
        <v>0</v>
      </c>
      <c r="R464" s="11">
        <f t="shared" si="164"/>
        <v>0</v>
      </c>
    </row>
    <row r="465" spans="2:18" ht="12.75" hidden="1">
      <c r="B465" t="s">
        <v>39</v>
      </c>
      <c r="C465" s="10">
        <v>9200</v>
      </c>
      <c r="D465" s="10">
        <v>9200</v>
      </c>
      <c r="E465" s="10"/>
      <c r="F465" s="10">
        <f t="shared" si="160"/>
        <v>9200</v>
      </c>
      <c r="G465" s="10">
        <v>10300</v>
      </c>
      <c r="H465" s="10">
        <v>10300</v>
      </c>
      <c r="I465" s="10"/>
      <c r="J465" s="10">
        <f t="shared" si="161"/>
        <v>10300</v>
      </c>
      <c r="K465" s="10">
        <v>12200</v>
      </c>
      <c r="L465" s="10">
        <v>12200</v>
      </c>
      <c r="M465" s="10">
        <v>12800</v>
      </c>
      <c r="N465" s="10">
        <v>12800</v>
      </c>
      <c r="O465" s="10"/>
      <c r="P465" s="10">
        <f t="shared" si="162"/>
        <v>12800</v>
      </c>
      <c r="Q465" s="10">
        <f t="shared" si="163"/>
        <v>600</v>
      </c>
      <c r="R465" s="11">
        <f t="shared" si="164"/>
        <v>0.04918032786885246</v>
      </c>
    </row>
    <row r="466" spans="2:18" ht="12.75" hidden="1">
      <c r="B466" t="s">
        <v>380</v>
      </c>
      <c r="C466" s="24">
        <v>4000</v>
      </c>
      <c r="D466" s="24">
        <v>4000</v>
      </c>
      <c r="E466" s="10"/>
      <c r="F466" s="10">
        <f t="shared" si="160"/>
        <v>4000</v>
      </c>
      <c r="G466" s="10">
        <v>4000</v>
      </c>
      <c r="H466" s="10">
        <v>4000</v>
      </c>
      <c r="I466" s="10"/>
      <c r="J466" s="10">
        <f t="shared" si="161"/>
        <v>4000</v>
      </c>
      <c r="K466" s="10">
        <v>4800</v>
      </c>
      <c r="L466" s="10">
        <v>4800</v>
      </c>
      <c r="M466" s="10">
        <v>4800</v>
      </c>
      <c r="N466" s="10">
        <v>4800</v>
      </c>
      <c r="O466" s="10"/>
      <c r="P466" s="10">
        <f t="shared" si="162"/>
        <v>4800</v>
      </c>
      <c r="Q466" s="10">
        <f t="shared" si="163"/>
        <v>0</v>
      </c>
      <c r="R466" s="11">
        <f t="shared" si="164"/>
        <v>0</v>
      </c>
    </row>
    <row r="467" spans="2:18" ht="12.75">
      <c r="B467" s="8" t="s">
        <v>20</v>
      </c>
      <c r="C467" s="12">
        <f aca="true" t="shared" si="165" ref="C467:Q467">SUM(C455:C466)</f>
        <v>471115</v>
      </c>
      <c r="D467" s="12">
        <f t="shared" si="165"/>
        <v>443435</v>
      </c>
      <c r="E467" s="12">
        <f t="shared" si="165"/>
        <v>0</v>
      </c>
      <c r="F467" s="12">
        <f t="shared" si="165"/>
        <v>443435</v>
      </c>
      <c r="G467" s="12">
        <f t="shared" si="165"/>
        <v>477215</v>
      </c>
      <c r="H467" s="12">
        <f t="shared" si="165"/>
        <v>457815</v>
      </c>
      <c r="I467" s="12">
        <f t="shared" si="165"/>
        <v>0</v>
      </c>
      <c r="J467" s="12">
        <f t="shared" si="165"/>
        <v>457815</v>
      </c>
      <c r="K467" s="13">
        <f t="shared" si="165"/>
        <v>489095</v>
      </c>
      <c r="L467" s="13">
        <f t="shared" si="165"/>
        <v>484095</v>
      </c>
      <c r="M467" s="13">
        <f t="shared" si="165"/>
        <v>502505</v>
      </c>
      <c r="N467" s="13">
        <f t="shared" si="165"/>
        <v>523799</v>
      </c>
      <c r="O467" s="13">
        <f t="shared" si="165"/>
        <v>-8320</v>
      </c>
      <c r="P467" s="13">
        <f t="shared" si="165"/>
        <v>515479</v>
      </c>
      <c r="Q467" s="13">
        <f t="shared" si="165"/>
        <v>31384</v>
      </c>
      <c r="R467" s="14">
        <f>Q467/L467</f>
        <v>0.06483025026079592</v>
      </c>
    </row>
    <row r="468" spans="3:18" ht="12.75" hidden="1">
      <c r="C468" s="9"/>
      <c r="D468" s="9"/>
      <c r="E468" s="9"/>
      <c r="F468" s="9"/>
      <c r="G468" s="9"/>
      <c r="H468" s="9"/>
      <c r="I468" s="9"/>
      <c r="J468" s="9"/>
      <c r="K468" s="10"/>
      <c r="L468" s="10"/>
      <c r="M468" s="10"/>
      <c r="N468" s="10"/>
      <c r="O468" s="10"/>
      <c r="P468" s="10"/>
      <c r="Q468" s="10"/>
      <c r="R468" s="11"/>
    </row>
    <row r="469" spans="2:18" ht="12.75" hidden="1">
      <c r="B469" s="28" t="s">
        <v>381</v>
      </c>
      <c r="C469" s="10">
        <v>12500</v>
      </c>
      <c r="D469" s="10">
        <v>7000</v>
      </c>
      <c r="E469" s="10"/>
      <c r="F469" s="10">
        <f aca="true" t="shared" si="166" ref="F469:F480">D469+E469</f>
        <v>7000</v>
      </c>
      <c r="G469" s="10">
        <v>12500</v>
      </c>
      <c r="H469" s="10">
        <v>10000</v>
      </c>
      <c r="I469" s="10"/>
      <c r="J469" s="10">
        <f aca="true" t="shared" si="167" ref="J469:J480">H469+I469</f>
        <v>10000</v>
      </c>
      <c r="K469" s="10">
        <v>10000</v>
      </c>
      <c r="L469" s="10">
        <v>10000</v>
      </c>
      <c r="M469" s="10">
        <v>11000</v>
      </c>
      <c r="N469" s="10">
        <v>10000</v>
      </c>
      <c r="O469" s="10"/>
      <c r="P469" s="10">
        <f aca="true" t="shared" si="168" ref="P469:P480">N469+O469</f>
        <v>10000</v>
      </c>
      <c r="Q469" s="10">
        <f aca="true" t="shared" si="169" ref="Q469:Q480">P469-L469</f>
        <v>0</v>
      </c>
      <c r="R469" s="11">
        <f aca="true" t="shared" si="170" ref="R469:R480">Q469/L469</f>
        <v>0</v>
      </c>
    </row>
    <row r="470" spans="2:18" ht="12.75" hidden="1">
      <c r="B470" t="s">
        <v>382</v>
      </c>
      <c r="C470" s="9">
        <v>130000</v>
      </c>
      <c r="D470" s="9">
        <v>130000</v>
      </c>
      <c r="E470" s="9">
        <v>-3000</v>
      </c>
      <c r="F470" s="10">
        <f t="shared" si="166"/>
        <v>127000</v>
      </c>
      <c r="G470" s="10">
        <v>142000</v>
      </c>
      <c r="H470" s="10">
        <v>135000</v>
      </c>
      <c r="I470" s="9"/>
      <c r="J470" s="10">
        <f t="shared" si="167"/>
        <v>135000</v>
      </c>
      <c r="K470" s="10">
        <v>135000</v>
      </c>
      <c r="L470" s="10">
        <v>130000</v>
      </c>
      <c r="M470" s="10">
        <v>135000</v>
      </c>
      <c r="N470" s="10">
        <v>130000</v>
      </c>
      <c r="O470" s="10"/>
      <c r="P470" s="10">
        <f t="shared" si="168"/>
        <v>130000</v>
      </c>
      <c r="Q470" s="10">
        <f t="shared" si="169"/>
        <v>0</v>
      </c>
      <c r="R470" s="11">
        <f t="shared" si="170"/>
        <v>0</v>
      </c>
    </row>
    <row r="471" spans="2:18" ht="12.75" hidden="1">
      <c r="B471" t="s">
        <v>226</v>
      </c>
      <c r="C471" s="9">
        <v>20000</v>
      </c>
      <c r="D471" s="9">
        <v>18000</v>
      </c>
      <c r="E471" s="9">
        <v>-2000</v>
      </c>
      <c r="F471" s="10">
        <f t="shared" si="166"/>
        <v>16000</v>
      </c>
      <c r="G471" s="10">
        <v>16000</v>
      </c>
      <c r="H471" s="10">
        <v>16000</v>
      </c>
      <c r="I471" s="9"/>
      <c r="J471" s="10">
        <f t="shared" si="167"/>
        <v>16000</v>
      </c>
      <c r="K471" s="10">
        <v>18000</v>
      </c>
      <c r="L471" s="10">
        <v>16000</v>
      </c>
      <c r="M471" s="10">
        <v>18000</v>
      </c>
      <c r="N471" s="10">
        <v>16000</v>
      </c>
      <c r="O471" s="10"/>
      <c r="P471" s="10">
        <f t="shared" si="168"/>
        <v>16000</v>
      </c>
      <c r="Q471" s="10">
        <f t="shared" si="169"/>
        <v>0</v>
      </c>
      <c r="R471" s="11">
        <f t="shared" si="170"/>
        <v>0</v>
      </c>
    </row>
    <row r="472" spans="2:18" ht="12.75" hidden="1">
      <c r="B472" t="s">
        <v>280</v>
      </c>
      <c r="C472" s="9">
        <v>0</v>
      </c>
      <c r="D472" s="9">
        <v>0</v>
      </c>
      <c r="E472" s="9"/>
      <c r="F472" s="10">
        <f t="shared" si="166"/>
        <v>0</v>
      </c>
      <c r="G472" s="31">
        <v>0</v>
      </c>
      <c r="H472" s="31">
        <v>0</v>
      </c>
      <c r="I472" s="9"/>
      <c r="J472" s="10">
        <f t="shared" si="167"/>
        <v>0</v>
      </c>
      <c r="K472" s="31">
        <v>0</v>
      </c>
      <c r="L472" s="31">
        <v>0</v>
      </c>
      <c r="M472" s="31">
        <v>0</v>
      </c>
      <c r="N472" s="31">
        <v>0</v>
      </c>
      <c r="O472" s="31"/>
      <c r="P472" s="10">
        <f t="shared" si="168"/>
        <v>0</v>
      </c>
      <c r="Q472" s="10">
        <f t="shared" si="169"/>
        <v>0</v>
      </c>
      <c r="R472" s="11" t="e">
        <f t="shared" si="170"/>
        <v>#DIV/0!</v>
      </c>
    </row>
    <row r="473" spans="2:18" ht="12.75" hidden="1">
      <c r="B473" t="s">
        <v>58</v>
      </c>
      <c r="C473" s="10">
        <v>20000</v>
      </c>
      <c r="D473" s="10">
        <v>16000</v>
      </c>
      <c r="E473" s="10"/>
      <c r="F473" s="10">
        <f t="shared" si="166"/>
        <v>16000</v>
      </c>
      <c r="G473" s="10">
        <v>20000</v>
      </c>
      <c r="H473" s="10">
        <v>18000</v>
      </c>
      <c r="I473" s="10"/>
      <c r="J473" s="10">
        <f t="shared" si="167"/>
        <v>18000</v>
      </c>
      <c r="K473" s="10">
        <v>18000</v>
      </c>
      <c r="L473" s="10">
        <v>18000</v>
      </c>
      <c r="M473" s="10">
        <v>18000</v>
      </c>
      <c r="N473" s="10">
        <v>18000</v>
      </c>
      <c r="O473" s="10"/>
      <c r="P473" s="10">
        <f t="shared" si="168"/>
        <v>18000</v>
      </c>
      <c r="Q473" s="10">
        <f t="shared" si="169"/>
        <v>0</v>
      </c>
      <c r="R473" s="11">
        <f t="shared" si="170"/>
        <v>0</v>
      </c>
    </row>
    <row r="474" spans="2:18" ht="12.75" hidden="1">
      <c r="B474" t="s">
        <v>383</v>
      </c>
      <c r="C474" s="9">
        <v>20000</v>
      </c>
      <c r="D474" s="9">
        <v>19000</v>
      </c>
      <c r="E474" s="9"/>
      <c r="F474" s="10">
        <f t="shared" si="166"/>
        <v>19000</v>
      </c>
      <c r="G474" s="10">
        <v>20000</v>
      </c>
      <c r="H474" s="10">
        <v>19000</v>
      </c>
      <c r="I474" s="9"/>
      <c r="J474" s="10">
        <f t="shared" si="167"/>
        <v>19000</v>
      </c>
      <c r="K474" s="10">
        <v>19000</v>
      </c>
      <c r="L474" s="10">
        <v>19000</v>
      </c>
      <c r="M474" s="10">
        <v>19000</v>
      </c>
      <c r="N474" s="10">
        <v>19000</v>
      </c>
      <c r="O474" s="10"/>
      <c r="P474" s="10">
        <f t="shared" si="168"/>
        <v>19000</v>
      </c>
      <c r="Q474" s="10">
        <f t="shared" si="169"/>
        <v>0</v>
      </c>
      <c r="R474" s="11">
        <f t="shared" si="170"/>
        <v>0</v>
      </c>
    </row>
    <row r="475" spans="2:18" ht="12.75" hidden="1">
      <c r="B475" s="20" t="s">
        <v>384</v>
      </c>
      <c r="C475" s="9"/>
      <c r="D475" s="9"/>
      <c r="E475" s="9"/>
      <c r="F475" s="10"/>
      <c r="G475" s="10">
        <v>15000</v>
      </c>
      <c r="H475" s="10">
        <v>10000</v>
      </c>
      <c r="I475" s="9"/>
      <c r="J475" s="10">
        <f t="shared" si="167"/>
        <v>10000</v>
      </c>
      <c r="K475" s="10">
        <v>20000</v>
      </c>
      <c r="L475" s="10">
        <v>15000</v>
      </c>
      <c r="M475" s="10">
        <v>20000</v>
      </c>
      <c r="N475" s="10">
        <v>15000</v>
      </c>
      <c r="O475" s="10">
        <v>6000</v>
      </c>
      <c r="P475" s="10">
        <f t="shared" si="168"/>
        <v>21000</v>
      </c>
      <c r="Q475" s="10">
        <f t="shared" si="169"/>
        <v>6000</v>
      </c>
      <c r="R475" s="11">
        <f t="shared" si="170"/>
        <v>0.4</v>
      </c>
    </row>
    <row r="476" spans="2:18" ht="12.75" hidden="1">
      <c r="B476" t="s">
        <v>385</v>
      </c>
      <c r="C476" s="9">
        <v>10000</v>
      </c>
      <c r="D476" s="9">
        <f>8000+1500</f>
        <v>9500</v>
      </c>
      <c r="E476" s="9">
        <v>-1500</v>
      </c>
      <c r="F476" s="10">
        <f t="shared" si="166"/>
        <v>8000</v>
      </c>
      <c r="G476" s="10">
        <v>10000</v>
      </c>
      <c r="H476" s="10">
        <v>8000</v>
      </c>
      <c r="I476" s="9"/>
      <c r="J476" s="10">
        <f t="shared" si="167"/>
        <v>8000</v>
      </c>
      <c r="K476" s="10">
        <v>9000</v>
      </c>
      <c r="L476" s="10">
        <v>8000</v>
      </c>
      <c r="M476" s="10">
        <v>9000</v>
      </c>
      <c r="N476" s="10">
        <v>8000</v>
      </c>
      <c r="O476" s="10"/>
      <c r="P476" s="10">
        <f t="shared" si="168"/>
        <v>8000</v>
      </c>
      <c r="Q476" s="10">
        <f t="shared" si="169"/>
        <v>0</v>
      </c>
      <c r="R476" s="11">
        <f t="shared" si="170"/>
        <v>0</v>
      </c>
    </row>
    <row r="477" spans="1:18" ht="12.75" hidden="1">
      <c r="A477" t="s">
        <v>386</v>
      </c>
      <c r="B477" t="s">
        <v>230</v>
      </c>
      <c r="C477" s="9">
        <v>15000</v>
      </c>
      <c r="D477" s="9">
        <v>15000</v>
      </c>
      <c r="E477" s="9"/>
      <c r="F477" s="10">
        <f t="shared" si="166"/>
        <v>15000</v>
      </c>
      <c r="G477" s="10">
        <v>15000</v>
      </c>
      <c r="H477" s="10">
        <v>15000</v>
      </c>
      <c r="I477" s="9"/>
      <c r="J477" s="10">
        <f t="shared" si="167"/>
        <v>15000</v>
      </c>
      <c r="K477" s="10">
        <v>15000</v>
      </c>
      <c r="L477" s="10">
        <v>15000</v>
      </c>
      <c r="M477" s="10">
        <v>15000</v>
      </c>
      <c r="N477" s="10">
        <v>15000</v>
      </c>
      <c r="O477" s="10"/>
      <c r="P477" s="10">
        <f t="shared" si="168"/>
        <v>15000</v>
      </c>
      <c r="Q477" s="10">
        <f t="shared" si="169"/>
        <v>0</v>
      </c>
      <c r="R477" s="11">
        <f t="shared" si="170"/>
        <v>0</v>
      </c>
    </row>
    <row r="478" spans="1:18" ht="12.75" hidden="1">
      <c r="A478" t="s">
        <v>387</v>
      </c>
      <c r="B478" t="s">
        <v>388</v>
      </c>
      <c r="C478" s="9">
        <v>10000</v>
      </c>
      <c r="D478" s="9">
        <v>8000</v>
      </c>
      <c r="E478" s="9"/>
      <c r="F478" s="10">
        <f t="shared" si="166"/>
        <v>8000</v>
      </c>
      <c r="G478" s="10">
        <v>10000</v>
      </c>
      <c r="H478" s="10">
        <v>10000</v>
      </c>
      <c r="I478" s="9"/>
      <c r="J478" s="10">
        <f t="shared" si="167"/>
        <v>10000</v>
      </c>
      <c r="K478" s="10">
        <v>10000</v>
      </c>
      <c r="L478" s="10">
        <v>10000</v>
      </c>
      <c r="M478" s="10">
        <v>10000</v>
      </c>
      <c r="N478" s="10">
        <v>10000</v>
      </c>
      <c r="O478" s="10"/>
      <c r="P478" s="10">
        <f t="shared" si="168"/>
        <v>10000</v>
      </c>
      <c r="Q478" s="10">
        <f t="shared" si="169"/>
        <v>0</v>
      </c>
      <c r="R478" s="11">
        <f t="shared" si="170"/>
        <v>0</v>
      </c>
    </row>
    <row r="479" spans="2:18" ht="12.75" hidden="1">
      <c r="B479" s="20" t="s">
        <v>389</v>
      </c>
      <c r="C479" s="9"/>
      <c r="D479" s="9"/>
      <c r="E479" s="9"/>
      <c r="F479" s="10"/>
      <c r="G479" s="10"/>
      <c r="H479" s="10">
        <v>5000</v>
      </c>
      <c r="I479" s="9"/>
      <c r="J479" s="10">
        <f t="shared" si="167"/>
        <v>5000</v>
      </c>
      <c r="K479" s="10">
        <v>5000</v>
      </c>
      <c r="L479" s="10">
        <v>5000</v>
      </c>
      <c r="M479" s="10">
        <v>5000</v>
      </c>
      <c r="N479" s="10">
        <v>4000</v>
      </c>
      <c r="O479" s="10"/>
      <c r="P479" s="10">
        <f t="shared" si="168"/>
        <v>4000</v>
      </c>
      <c r="Q479" s="10">
        <f t="shared" si="169"/>
        <v>-1000</v>
      </c>
      <c r="R479" s="11">
        <f t="shared" si="170"/>
        <v>-0.2</v>
      </c>
    </row>
    <row r="480" spans="2:18" ht="12.75" hidden="1">
      <c r="B480" t="s">
        <v>50</v>
      </c>
      <c r="C480" s="9">
        <v>1000</v>
      </c>
      <c r="D480" s="9">
        <v>1000</v>
      </c>
      <c r="E480" s="9"/>
      <c r="F480" s="10">
        <f t="shared" si="166"/>
        <v>1000</v>
      </c>
      <c r="G480" s="10">
        <v>1000</v>
      </c>
      <c r="H480" s="10">
        <v>1000</v>
      </c>
      <c r="I480" s="9"/>
      <c r="J480" s="10">
        <f t="shared" si="167"/>
        <v>1000</v>
      </c>
      <c r="K480" s="10">
        <v>1000</v>
      </c>
      <c r="L480" s="10">
        <v>1000</v>
      </c>
      <c r="M480" s="10">
        <v>1000</v>
      </c>
      <c r="N480" s="10">
        <v>1000</v>
      </c>
      <c r="O480" s="10"/>
      <c r="P480" s="10">
        <f t="shared" si="168"/>
        <v>1000</v>
      </c>
      <c r="Q480" s="10">
        <f t="shared" si="169"/>
        <v>0</v>
      </c>
      <c r="R480" s="11">
        <f t="shared" si="170"/>
        <v>0</v>
      </c>
    </row>
    <row r="481" spans="2:18" ht="12.75">
      <c r="B481" s="8" t="s">
        <v>23</v>
      </c>
      <c r="C481" s="12">
        <f aca="true" t="shared" si="171" ref="C481:Q481">SUM(C469:C480)</f>
        <v>238500</v>
      </c>
      <c r="D481" s="12">
        <f t="shared" si="171"/>
        <v>223500</v>
      </c>
      <c r="E481" s="12">
        <f t="shared" si="171"/>
        <v>-6500</v>
      </c>
      <c r="F481" s="12">
        <f t="shared" si="171"/>
        <v>217000</v>
      </c>
      <c r="G481" s="12">
        <f t="shared" si="171"/>
        <v>261500</v>
      </c>
      <c r="H481" s="12">
        <f t="shared" si="171"/>
        <v>247000</v>
      </c>
      <c r="I481" s="12">
        <f t="shared" si="171"/>
        <v>0</v>
      </c>
      <c r="J481" s="12">
        <f t="shared" si="171"/>
        <v>247000</v>
      </c>
      <c r="K481" s="13">
        <f t="shared" si="171"/>
        <v>260000</v>
      </c>
      <c r="L481" s="13">
        <f t="shared" si="171"/>
        <v>247000</v>
      </c>
      <c r="M481" s="13">
        <f t="shared" si="171"/>
        <v>261000</v>
      </c>
      <c r="N481" s="13">
        <f t="shared" si="171"/>
        <v>246000</v>
      </c>
      <c r="O481" s="13">
        <f t="shared" si="171"/>
        <v>6000</v>
      </c>
      <c r="P481" s="13">
        <f t="shared" si="171"/>
        <v>252000</v>
      </c>
      <c r="Q481" s="13">
        <f t="shared" si="171"/>
        <v>5000</v>
      </c>
      <c r="R481" s="14">
        <f>Q481/L481</f>
        <v>0.020242914979757085</v>
      </c>
    </row>
    <row r="482" spans="3:18" ht="12.75" hidden="1">
      <c r="C482" s="9"/>
      <c r="D482" s="9"/>
      <c r="E482" s="9"/>
      <c r="F482" s="9"/>
      <c r="G482" s="9"/>
      <c r="H482" s="9"/>
      <c r="I482" s="9"/>
      <c r="J482" s="9"/>
      <c r="K482" s="10"/>
      <c r="L482" s="10"/>
      <c r="M482" s="10"/>
      <c r="N482" s="10"/>
      <c r="O482" s="10"/>
      <c r="P482" s="10"/>
      <c r="Q482" s="10"/>
      <c r="R482" s="11"/>
    </row>
    <row r="483" spans="2:18" ht="12.75" hidden="1">
      <c r="B483" s="28" t="s">
        <v>52</v>
      </c>
      <c r="C483" s="10">
        <v>4000</v>
      </c>
      <c r="D483" s="10">
        <v>3000</v>
      </c>
      <c r="E483" s="10"/>
      <c r="F483" s="10">
        <f aca="true" t="shared" si="172" ref="F483:F490">D483+E483</f>
        <v>3000</v>
      </c>
      <c r="G483" s="10">
        <v>3000</v>
      </c>
      <c r="H483" s="10">
        <v>3000</v>
      </c>
      <c r="I483" s="10"/>
      <c r="J483" s="10">
        <f aca="true" t="shared" si="173" ref="J483:J490">H483+I483</f>
        <v>3000</v>
      </c>
      <c r="K483" s="10">
        <v>3000</v>
      </c>
      <c r="L483" s="10">
        <v>3000</v>
      </c>
      <c r="M483" s="10">
        <v>3000</v>
      </c>
      <c r="N483" s="10">
        <v>3000</v>
      </c>
      <c r="O483" s="10"/>
      <c r="P483" s="10">
        <f aca="true" t="shared" si="174" ref="P483:P490">N483+O483</f>
        <v>3000</v>
      </c>
      <c r="Q483" s="10">
        <f aca="true" t="shared" si="175" ref="Q483:Q490">P483-L483</f>
        <v>0</v>
      </c>
      <c r="R483" s="11">
        <f aca="true" t="shared" si="176" ref="R483:R490">Q483/L483</f>
        <v>0</v>
      </c>
    </row>
    <row r="484" spans="1:18" ht="12.75" hidden="1">
      <c r="A484" t="s">
        <v>390</v>
      </c>
      <c r="B484" t="s">
        <v>303</v>
      </c>
      <c r="C484" s="9">
        <v>16000</v>
      </c>
      <c r="D484" s="9">
        <v>16000</v>
      </c>
      <c r="E484" s="9"/>
      <c r="F484" s="10">
        <f t="shared" si="172"/>
        <v>16000</v>
      </c>
      <c r="G484" s="10">
        <v>16000</v>
      </c>
      <c r="H484" s="10">
        <v>16000</v>
      </c>
      <c r="I484" s="9"/>
      <c r="J484" s="10">
        <f t="shared" si="173"/>
        <v>16000</v>
      </c>
      <c r="K484" s="10">
        <v>16000</v>
      </c>
      <c r="L484" s="10">
        <v>16000</v>
      </c>
      <c r="M484" s="10">
        <v>16000</v>
      </c>
      <c r="N484" s="10">
        <v>16000</v>
      </c>
      <c r="O484" s="10"/>
      <c r="P484" s="10">
        <f t="shared" si="174"/>
        <v>16000</v>
      </c>
      <c r="Q484" s="10">
        <f t="shared" si="175"/>
        <v>0</v>
      </c>
      <c r="R484" s="11">
        <f t="shared" si="176"/>
        <v>0</v>
      </c>
    </row>
    <row r="485" spans="2:18" ht="12.75" hidden="1">
      <c r="B485" t="s">
        <v>391</v>
      </c>
      <c r="C485" s="9">
        <v>50000</v>
      </c>
      <c r="D485" s="9">
        <v>50000</v>
      </c>
      <c r="E485" s="9"/>
      <c r="F485" s="10">
        <f t="shared" si="172"/>
        <v>50000</v>
      </c>
      <c r="G485" s="10">
        <v>60000</v>
      </c>
      <c r="H485" s="10">
        <v>50000</v>
      </c>
      <c r="I485" s="9"/>
      <c r="J485" s="10">
        <f t="shared" si="173"/>
        <v>50000</v>
      </c>
      <c r="K485" s="10">
        <v>50000</v>
      </c>
      <c r="L485" s="10">
        <v>50000</v>
      </c>
      <c r="M485" s="10">
        <v>50000</v>
      </c>
      <c r="N485" s="10">
        <v>50000</v>
      </c>
      <c r="O485" s="10"/>
      <c r="P485" s="10">
        <f t="shared" si="174"/>
        <v>50000</v>
      </c>
      <c r="Q485" s="10">
        <f t="shared" si="175"/>
        <v>0</v>
      </c>
      <c r="R485" s="11">
        <f t="shared" si="176"/>
        <v>0</v>
      </c>
    </row>
    <row r="486" spans="1:18" ht="12.75" hidden="1">
      <c r="A486" t="s">
        <v>392</v>
      </c>
      <c r="B486" t="s">
        <v>393</v>
      </c>
      <c r="C486" s="9">
        <v>25000</v>
      </c>
      <c r="D486" s="9">
        <v>23000</v>
      </c>
      <c r="E486" s="9">
        <v>-2000</v>
      </c>
      <c r="F486" s="10">
        <f t="shared" si="172"/>
        <v>21000</v>
      </c>
      <c r="G486" s="31">
        <v>30000</v>
      </c>
      <c r="H486" s="31">
        <v>24000</v>
      </c>
      <c r="I486" s="9"/>
      <c r="J486" s="10">
        <f t="shared" si="173"/>
        <v>24000</v>
      </c>
      <c r="K486" s="31">
        <v>30000</v>
      </c>
      <c r="L486" s="31">
        <v>27000</v>
      </c>
      <c r="M486" s="31">
        <v>30000</v>
      </c>
      <c r="N486" s="31">
        <v>27000</v>
      </c>
      <c r="O486" s="31"/>
      <c r="P486" s="10">
        <f t="shared" si="174"/>
        <v>27000</v>
      </c>
      <c r="Q486" s="10">
        <f t="shared" si="175"/>
        <v>0</v>
      </c>
      <c r="R486" s="11">
        <f t="shared" si="176"/>
        <v>0</v>
      </c>
    </row>
    <row r="487" spans="1:18" ht="12.75" hidden="1">
      <c r="A487" t="s">
        <v>394</v>
      </c>
      <c r="B487" t="s">
        <v>395</v>
      </c>
      <c r="C487" s="9">
        <v>10000</v>
      </c>
      <c r="D487" s="9">
        <f>9000+3500</f>
        <v>12500</v>
      </c>
      <c r="E487" s="9">
        <v>-1500</v>
      </c>
      <c r="F487" s="10">
        <f t="shared" si="172"/>
        <v>11000</v>
      </c>
      <c r="G487" s="10">
        <v>12500</v>
      </c>
      <c r="H487" s="10">
        <v>11500</v>
      </c>
      <c r="I487" s="9"/>
      <c r="J487" s="10">
        <f t="shared" si="173"/>
        <v>11500</v>
      </c>
      <c r="K487" s="10">
        <v>12500</v>
      </c>
      <c r="L487" s="10">
        <v>11500</v>
      </c>
      <c r="M487" s="10">
        <v>12500</v>
      </c>
      <c r="N487" s="10">
        <v>12500</v>
      </c>
      <c r="O487" s="10"/>
      <c r="P487" s="10">
        <f t="shared" si="174"/>
        <v>12500</v>
      </c>
      <c r="Q487" s="10">
        <f t="shared" si="175"/>
        <v>1000</v>
      </c>
      <c r="R487" s="11">
        <f t="shared" si="176"/>
        <v>0.08695652173913043</v>
      </c>
    </row>
    <row r="488" spans="2:18" ht="12.75" hidden="1">
      <c r="B488" t="s">
        <v>107</v>
      </c>
      <c r="C488" s="9">
        <v>11000</v>
      </c>
      <c r="D488" s="9">
        <v>10000</v>
      </c>
      <c r="E488" s="9"/>
      <c r="F488" s="10">
        <f t="shared" si="172"/>
        <v>10000</v>
      </c>
      <c r="G488" s="10">
        <v>10000</v>
      </c>
      <c r="H488" s="10">
        <v>10000</v>
      </c>
      <c r="I488" s="9"/>
      <c r="J488" s="10">
        <f t="shared" si="173"/>
        <v>10000</v>
      </c>
      <c r="K488" s="10">
        <v>10000</v>
      </c>
      <c r="L488" s="10">
        <v>10000</v>
      </c>
      <c r="M488" s="10">
        <v>10000</v>
      </c>
      <c r="N488" s="10">
        <v>10000</v>
      </c>
      <c r="O488" s="10"/>
      <c r="P488" s="10">
        <f t="shared" si="174"/>
        <v>10000</v>
      </c>
      <c r="Q488" s="10">
        <f t="shared" si="175"/>
        <v>0</v>
      </c>
      <c r="R488" s="11">
        <f t="shared" si="176"/>
        <v>0</v>
      </c>
    </row>
    <row r="489" spans="1:18" ht="12.75" hidden="1">
      <c r="A489" t="s">
        <v>396</v>
      </c>
      <c r="B489" s="20" t="s">
        <v>397</v>
      </c>
      <c r="C489" s="9">
        <v>4000</v>
      </c>
      <c r="D489" s="9">
        <v>4000</v>
      </c>
      <c r="E489" s="9"/>
      <c r="F489" s="10">
        <f t="shared" si="172"/>
        <v>4000</v>
      </c>
      <c r="G489" s="10">
        <v>6000</v>
      </c>
      <c r="H489" s="10">
        <v>4000</v>
      </c>
      <c r="I489" s="9"/>
      <c r="J489" s="10">
        <f t="shared" si="173"/>
        <v>4000</v>
      </c>
      <c r="K489" s="10">
        <v>11000</v>
      </c>
      <c r="L489" s="10">
        <v>8000</v>
      </c>
      <c r="M489" s="10">
        <v>11000</v>
      </c>
      <c r="N489" s="10">
        <v>8000</v>
      </c>
      <c r="O489" s="10"/>
      <c r="P489" s="10">
        <f t="shared" si="174"/>
        <v>8000</v>
      </c>
      <c r="Q489" s="10">
        <f t="shared" si="175"/>
        <v>0</v>
      </c>
      <c r="R489" s="11">
        <f t="shared" si="176"/>
        <v>0</v>
      </c>
    </row>
    <row r="490" spans="1:18" ht="12.75" hidden="1">
      <c r="A490" t="s">
        <v>398</v>
      </c>
      <c r="B490" t="s">
        <v>399</v>
      </c>
      <c r="C490" s="24">
        <v>500</v>
      </c>
      <c r="D490" s="24">
        <v>500</v>
      </c>
      <c r="E490" s="10"/>
      <c r="F490" s="10">
        <f t="shared" si="172"/>
        <v>500</v>
      </c>
      <c r="G490" s="10">
        <v>500</v>
      </c>
      <c r="H490" s="10">
        <v>500</v>
      </c>
      <c r="I490" s="10"/>
      <c r="J490" s="10">
        <f t="shared" si="173"/>
        <v>500</v>
      </c>
      <c r="K490" s="10">
        <v>500</v>
      </c>
      <c r="L490" s="10">
        <v>500</v>
      </c>
      <c r="M490" s="10">
        <v>500</v>
      </c>
      <c r="N490" s="10">
        <v>500</v>
      </c>
      <c r="O490" s="10"/>
      <c r="P490" s="10">
        <f t="shared" si="174"/>
        <v>500</v>
      </c>
      <c r="Q490" s="10">
        <f t="shared" si="175"/>
        <v>0</v>
      </c>
      <c r="R490" s="11">
        <f t="shared" si="176"/>
        <v>0</v>
      </c>
    </row>
    <row r="491" spans="2:18" ht="12.75">
      <c r="B491" s="8" t="s">
        <v>53</v>
      </c>
      <c r="C491" s="12">
        <f aca="true" t="shared" si="177" ref="C491:Q491">SUM(C483:C490)</f>
        <v>120500</v>
      </c>
      <c r="D491" s="12">
        <f t="shared" si="177"/>
        <v>119000</v>
      </c>
      <c r="E491" s="12">
        <f t="shared" si="177"/>
        <v>-3500</v>
      </c>
      <c r="F491" s="12">
        <f t="shared" si="177"/>
        <v>115500</v>
      </c>
      <c r="G491" s="12">
        <f t="shared" si="177"/>
        <v>138000</v>
      </c>
      <c r="H491" s="12">
        <f t="shared" si="177"/>
        <v>119000</v>
      </c>
      <c r="I491" s="12">
        <f t="shared" si="177"/>
        <v>0</v>
      </c>
      <c r="J491" s="12">
        <f t="shared" si="177"/>
        <v>119000</v>
      </c>
      <c r="K491" s="13">
        <f t="shared" si="177"/>
        <v>133000</v>
      </c>
      <c r="L491" s="13">
        <f t="shared" si="177"/>
        <v>126000</v>
      </c>
      <c r="M491" s="13">
        <f t="shared" si="177"/>
        <v>133000</v>
      </c>
      <c r="N491" s="13">
        <f t="shared" si="177"/>
        <v>127000</v>
      </c>
      <c r="O491" s="13">
        <f t="shared" si="177"/>
        <v>0</v>
      </c>
      <c r="P491" s="13">
        <f t="shared" si="177"/>
        <v>127000</v>
      </c>
      <c r="Q491" s="13">
        <f t="shared" si="177"/>
        <v>1000</v>
      </c>
      <c r="R491" s="14">
        <f>Q491/L491</f>
        <v>0.007936507936507936</v>
      </c>
    </row>
    <row r="492" spans="2:18" ht="12.75" hidden="1">
      <c r="B492" s="8"/>
      <c r="C492" s="25"/>
      <c r="D492" s="25"/>
      <c r="E492" s="25"/>
      <c r="F492" s="25"/>
      <c r="G492" s="25"/>
      <c r="H492" s="25"/>
      <c r="I492" s="25"/>
      <c r="J492" s="25"/>
      <c r="K492" s="13"/>
      <c r="L492" s="13"/>
      <c r="M492" s="13"/>
      <c r="N492" s="13"/>
      <c r="O492" s="13"/>
      <c r="P492" s="13"/>
      <c r="Q492" s="13"/>
      <c r="R492" s="14"/>
    </row>
    <row r="493" spans="1:18" ht="12.75" hidden="1">
      <c r="A493" t="s">
        <v>400</v>
      </c>
      <c r="B493" t="s">
        <v>25</v>
      </c>
      <c r="C493" s="10">
        <v>450</v>
      </c>
      <c r="D493" s="10">
        <v>450</v>
      </c>
      <c r="E493" s="10"/>
      <c r="F493" s="10">
        <f>D493+E493</f>
        <v>450</v>
      </c>
      <c r="G493" s="10">
        <v>450</v>
      </c>
      <c r="H493" s="10">
        <v>450</v>
      </c>
      <c r="I493" s="10"/>
      <c r="J493" s="10">
        <f>H493+I493</f>
        <v>450</v>
      </c>
      <c r="K493" s="10">
        <v>450</v>
      </c>
      <c r="L493" s="10">
        <v>450</v>
      </c>
      <c r="M493" s="10">
        <v>350</v>
      </c>
      <c r="N493" s="10">
        <v>350</v>
      </c>
      <c r="O493" s="10"/>
      <c r="P493" s="10">
        <f>N493+O493</f>
        <v>350</v>
      </c>
      <c r="Q493" s="10">
        <f>P493-L493</f>
        <v>-100</v>
      </c>
      <c r="R493" s="11">
        <f>Q493/L493</f>
        <v>-0.2222222222222222</v>
      </c>
    </row>
    <row r="494" spans="2:18" ht="12.75" hidden="1">
      <c r="B494" t="s">
        <v>55</v>
      </c>
      <c r="C494" s="10">
        <v>500</v>
      </c>
      <c r="D494" s="10">
        <v>500</v>
      </c>
      <c r="E494" s="10"/>
      <c r="F494" s="10">
        <f>D494+E494</f>
        <v>500</v>
      </c>
      <c r="G494" s="10">
        <v>500</v>
      </c>
      <c r="H494" s="10">
        <v>500</v>
      </c>
      <c r="I494" s="10"/>
      <c r="J494" s="10">
        <f>H494+I494</f>
        <v>500</v>
      </c>
      <c r="K494" s="10">
        <v>500</v>
      </c>
      <c r="L494" s="10">
        <v>500</v>
      </c>
      <c r="M494" s="10">
        <v>500</v>
      </c>
      <c r="N494" s="10">
        <v>500</v>
      </c>
      <c r="O494" s="10"/>
      <c r="P494" s="10">
        <f>N494+O494</f>
        <v>500</v>
      </c>
      <c r="Q494" s="10">
        <f>P494-L494</f>
        <v>0</v>
      </c>
      <c r="R494" s="11">
        <f>Q494/L494</f>
        <v>0</v>
      </c>
    </row>
    <row r="495" spans="2:18" ht="12.75">
      <c r="B495" s="8" t="s">
        <v>27</v>
      </c>
      <c r="C495" s="12">
        <f aca="true" t="shared" si="178" ref="C495:Q495">SUM(C493:C494)</f>
        <v>950</v>
      </c>
      <c r="D495" s="12">
        <f t="shared" si="178"/>
        <v>950</v>
      </c>
      <c r="E495" s="12">
        <f t="shared" si="178"/>
        <v>0</v>
      </c>
      <c r="F495" s="12">
        <f t="shared" si="178"/>
        <v>950</v>
      </c>
      <c r="G495" s="12">
        <f t="shared" si="178"/>
        <v>950</v>
      </c>
      <c r="H495" s="12">
        <f t="shared" si="178"/>
        <v>950</v>
      </c>
      <c r="I495" s="12">
        <f t="shared" si="178"/>
        <v>0</v>
      </c>
      <c r="J495" s="12">
        <f t="shared" si="178"/>
        <v>950</v>
      </c>
      <c r="K495" s="13">
        <f t="shared" si="178"/>
        <v>950</v>
      </c>
      <c r="L495" s="13">
        <f t="shared" si="178"/>
        <v>950</v>
      </c>
      <c r="M495" s="13">
        <f>SUM(M493:M494)</f>
        <v>850</v>
      </c>
      <c r="N495" s="13">
        <f>SUM(N493:N494)</f>
        <v>850</v>
      </c>
      <c r="O495" s="13">
        <f>SUM(O493:O494)</f>
        <v>0</v>
      </c>
      <c r="P495" s="13">
        <f>SUM(P493:P494)</f>
        <v>850</v>
      </c>
      <c r="Q495" s="13">
        <f t="shared" si="178"/>
        <v>-100</v>
      </c>
      <c r="R495" s="14">
        <f>Q495/L495</f>
        <v>-0.10526315789473684</v>
      </c>
    </row>
    <row r="496" spans="3:18" ht="12.75" hidden="1">
      <c r="C496" s="9"/>
      <c r="D496" s="9"/>
      <c r="E496" s="9"/>
      <c r="F496" s="9"/>
      <c r="G496" s="9"/>
      <c r="H496" s="9"/>
      <c r="I496" s="9"/>
      <c r="J496" s="9"/>
      <c r="K496" s="10"/>
      <c r="L496" s="10"/>
      <c r="M496" s="10"/>
      <c r="N496" s="10"/>
      <c r="O496" s="10"/>
      <c r="P496" s="10"/>
      <c r="Q496" s="10"/>
      <c r="R496" s="11"/>
    </row>
    <row r="497" spans="2:18" ht="12.75" hidden="1">
      <c r="B497" t="s">
        <v>297</v>
      </c>
      <c r="C497" s="9">
        <v>95679</v>
      </c>
      <c r="D497" s="9">
        <f>2850*12+13640</f>
        <v>47840</v>
      </c>
      <c r="E497" s="9"/>
      <c r="F497" s="10">
        <f>D497+E497</f>
        <v>47840</v>
      </c>
      <c r="G497" s="10">
        <v>82039</v>
      </c>
      <c r="H497" s="10">
        <f>F497-13635</f>
        <v>34205</v>
      </c>
      <c r="I497" s="9"/>
      <c r="J497" s="10">
        <f>H497+I497</f>
        <v>34205</v>
      </c>
      <c r="K497" s="10">
        <v>34205</v>
      </c>
      <c r="L497" s="10">
        <v>34205</v>
      </c>
      <c r="M497" s="10">
        <v>17251</v>
      </c>
      <c r="N497" s="10">
        <v>2850</v>
      </c>
      <c r="O497" s="10"/>
      <c r="P497" s="10">
        <f>N497+O497</f>
        <v>2850</v>
      </c>
      <c r="Q497" s="10">
        <f>P497-L497</f>
        <v>-31355</v>
      </c>
      <c r="R497" s="11">
        <f>Q497/L497</f>
        <v>-0.9166788481216196</v>
      </c>
    </row>
    <row r="498" spans="1:18" ht="12.75" hidden="1">
      <c r="A498" t="s">
        <v>401</v>
      </c>
      <c r="B498" t="s">
        <v>402</v>
      </c>
      <c r="C498" s="24"/>
      <c r="D498" s="24"/>
      <c r="E498" s="10"/>
      <c r="F498" s="10">
        <f>D498+E498</f>
        <v>0</v>
      </c>
      <c r="G498" s="10"/>
      <c r="H498" s="10"/>
      <c r="I498" s="10"/>
      <c r="J498" s="10">
        <f>H498+I498</f>
        <v>0</v>
      </c>
      <c r="K498" s="10"/>
      <c r="L498" s="10">
        <v>15000</v>
      </c>
      <c r="M498" s="10"/>
      <c r="N498" s="10"/>
      <c r="O498" s="10"/>
      <c r="P498" s="10">
        <f>N498+O498</f>
        <v>0</v>
      </c>
      <c r="Q498" s="10">
        <f>P498-L498</f>
        <v>-15000</v>
      </c>
      <c r="R498" s="11">
        <f>Q498/L498</f>
        <v>-1</v>
      </c>
    </row>
    <row r="499" spans="2:18" ht="12.75">
      <c r="B499" s="8" t="s">
        <v>67</v>
      </c>
      <c r="C499" s="25">
        <f aca="true" t="shared" si="179" ref="C499:Q499">SUM(C497:C498)</f>
        <v>95679</v>
      </c>
      <c r="D499" s="25">
        <f t="shared" si="179"/>
        <v>47840</v>
      </c>
      <c r="E499" s="12">
        <f t="shared" si="179"/>
        <v>0</v>
      </c>
      <c r="F499" s="12">
        <f t="shared" si="179"/>
        <v>47840</v>
      </c>
      <c r="G499" s="12">
        <f t="shared" si="179"/>
        <v>82039</v>
      </c>
      <c r="H499" s="12">
        <f t="shared" si="179"/>
        <v>34205</v>
      </c>
      <c r="I499" s="12">
        <f t="shared" si="179"/>
        <v>0</v>
      </c>
      <c r="J499" s="12">
        <f t="shared" si="179"/>
        <v>34205</v>
      </c>
      <c r="K499" s="13">
        <f t="shared" si="179"/>
        <v>34205</v>
      </c>
      <c r="L499" s="13">
        <f t="shared" si="179"/>
        <v>49205</v>
      </c>
      <c r="M499" s="13">
        <f>SUM(M497:M498)</f>
        <v>17251</v>
      </c>
      <c r="N499" s="13">
        <f>SUM(N497:N498)</f>
        <v>2850</v>
      </c>
      <c r="O499" s="13">
        <f>SUM(O497:O498)</f>
        <v>0</v>
      </c>
      <c r="P499" s="13">
        <f>SUM(P497:P498)</f>
        <v>2850</v>
      </c>
      <c r="Q499" s="13">
        <f t="shared" si="179"/>
        <v>-46355</v>
      </c>
      <c r="R499" s="14">
        <f>Q499/L499</f>
        <v>-0.9420790570064018</v>
      </c>
    </row>
    <row r="500" spans="3:18" ht="12.75" hidden="1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15"/>
    </row>
    <row r="501" spans="2:18" s="16" customFormat="1" ht="12.75">
      <c r="B501" s="17" t="s">
        <v>403</v>
      </c>
      <c r="C501" s="18">
        <f aca="true" t="shared" si="180" ref="C501:Q501">SUM(C499+C495+C491+C481+C467)</f>
        <v>926744</v>
      </c>
      <c r="D501" s="18">
        <f t="shared" si="180"/>
        <v>834725</v>
      </c>
      <c r="E501" s="18">
        <f t="shared" si="180"/>
        <v>-10000</v>
      </c>
      <c r="F501" s="18">
        <f t="shared" si="180"/>
        <v>824725</v>
      </c>
      <c r="G501" s="18">
        <f t="shared" si="180"/>
        <v>959704</v>
      </c>
      <c r="H501" s="18">
        <f t="shared" si="180"/>
        <v>858970</v>
      </c>
      <c r="I501" s="18">
        <f t="shared" si="180"/>
        <v>0</v>
      </c>
      <c r="J501" s="18">
        <f t="shared" si="180"/>
        <v>858970</v>
      </c>
      <c r="K501" s="18">
        <f t="shared" si="180"/>
        <v>917250</v>
      </c>
      <c r="L501" s="18">
        <f t="shared" si="180"/>
        <v>907250</v>
      </c>
      <c r="M501" s="18">
        <f>SUM(M499+M495+M491+M481+M467)</f>
        <v>914606</v>
      </c>
      <c r="N501" s="18">
        <f>SUM(N499+N495+N491+N481+N467)</f>
        <v>900499</v>
      </c>
      <c r="O501" s="18">
        <f>SUM(O499+O495+O491+O481+O467)</f>
        <v>-2320</v>
      </c>
      <c r="P501" s="18">
        <f>SUM(P499+P495+P491+P481+P467)</f>
        <v>898179</v>
      </c>
      <c r="Q501" s="18">
        <f t="shared" si="180"/>
        <v>-9071</v>
      </c>
      <c r="R501" s="19">
        <f>Q501/L501</f>
        <v>-0.00999834665197024</v>
      </c>
    </row>
    <row r="502" spans="3:17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9"/>
    </row>
    <row r="503" spans="2:18" ht="12.75">
      <c r="B503" s="8" t="s">
        <v>404</v>
      </c>
      <c r="C503" s="9"/>
      <c r="D503" s="9"/>
      <c r="E503" s="9"/>
      <c r="F503" s="9"/>
      <c r="G503" s="9"/>
      <c r="H503" s="9"/>
      <c r="I503" s="9"/>
      <c r="J503" s="9"/>
      <c r="K503" s="10"/>
      <c r="L503" s="10"/>
      <c r="M503" s="10"/>
      <c r="N503" s="10"/>
      <c r="O503" s="10"/>
      <c r="P503" s="10"/>
      <c r="Q503" s="28"/>
      <c r="R503" s="28"/>
    </row>
    <row r="504" spans="1:18" ht="12.75" hidden="1">
      <c r="A504" t="s">
        <v>405</v>
      </c>
      <c r="B504" t="s">
        <v>406</v>
      </c>
      <c r="C504" s="9">
        <v>3000</v>
      </c>
      <c r="D504" s="9">
        <v>2600</v>
      </c>
      <c r="E504" s="9"/>
      <c r="F504" s="10">
        <f>D504+E504</f>
        <v>2600</v>
      </c>
      <c r="G504" s="10">
        <v>2600</v>
      </c>
      <c r="H504" s="10">
        <v>2600</v>
      </c>
      <c r="I504" s="9"/>
      <c r="J504" s="10">
        <f>H504+I504</f>
        <v>2600</v>
      </c>
      <c r="K504" s="10">
        <v>5148</v>
      </c>
      <c r="L504" s="10">
        <v>3900</v>
      </c>
      <c r="M504" s="10">
        <v>5148</v>
      </c>
      <c r="N504" s="10">
        <v>5148</v>
      </c>
      <c r="O504" s="10"/>
      <c r="P504" s="10">
        <f>N504+O504</f>
        <v>5148</v>
      </c>
      <c r="Q504" s="10">
        <f>P504-L504</f>
        <v>1248</v>
      </c>
      <c r="R504" s="11">
        <f>Q504/L504</f>
        <v>0.32</v>
      </c>
    </row>
    <row r="505" spans="1:18" ht="12.75" hidden="1">
      <c r="A505" t="s">
        <v>407</v>
      </c>
      <c r="B505" t="s">
        <v>408</v>
      </c>
      <c r="C505" s="9">
        <v>9020</v>
      </c>
      <c r="D505" s="9">
        <v>8755</v>
      </c>
      <c r="E505" s="9"/>
      <c r="F505" s="10">
        <f>D505+E505</f>
        <v>8755</v>
      </c>
      <c r="G505" s="10">
        <v>12000</v>
      </c>
      <c r="H505" s="10">
        <v>10000</v>
      </c>
      <c r="I505" s="9"/>
      <c r="J505" s="10">
        <f>H505+I505</f>
        <v>10000</v>
      </c>
      <c r="K505" s="10">
        <v>11500</v>
      </c>
      <c r="L505" s="10">
        <v>10700</v>
      </c>
      <c r="M505" s="10">
        <v>11500</v>
      </c>
      <c r="N505" s="10">
        <v>11500</v>
      </c>
      <c r="O505" s="10"/>
      <c r="P505" s="10">
        <f>N505+O505</f>
        <v>11500</v>
      </c>
      <c r="Q505" s="10">
        <f>P505-L505</f>
        <v>800</v>
      </c>
      <c r="R505" s="11">
        <f>Q505/L505</f>
        <v>0.07476635514018691</v>
      </c>
    </row>
    <row r="506" spans="2:18" ht="12.75">
      <c r="B506" s="8" t="s">
        <v>20</v>
      </c>
      <c r="C506" s="12">
        <f aca="true" t="shared" si="181" ref="C506:Q506">SUM(C504:C505)</f>
        <v>12020</v>
      </c>
      <c r="D506" s="12">
        <f t="shared" si="181"/>
        <v>11355</v>
      </c>
      <c r="E506" s="12">
        <f t="shared" si="181"/>
        <v>0</v>
      </c>
      <c r="F506" s="12">
        <f t="shared" si="181"/>
        <v>11355</v>
      </c>
      <c r="G506" s="12">
        <f t="shared" si="181"/>
        <v>14600</v>
      </c>
      <c r="H506" s="12">
        <f t="shared" si="181"/>
        <v>12600</v>
      </c>
      <c r="I506" s="12">
        <f t="shared" si="181"/>
        <v>0</v>
      </c>
      <c r="J506" s="12">
        <f t="shared" si="181"/>
        <v>12600</v>
      </c>
      <c r="K506" s="13">
        <f t="shared" si="181"/>
        <v>16648</v>
      </c>
      <c r="L506" s="13">
        <f t="shared" si="181"/>
        <v>14600</v>
      </c>
      <c r="M506" s="13">
        <f t="shared" si="181"/>
        <v>16648</v>
      </c>
      <c r="N506" s="13">
        <f t="shared" si="181"/>
        <v>16648</v>
      </c>
      <c r="O506" s="13">
        <f t="shared" si="181"/>
        <v>0</v>
      </c>
      <c r="P506" s="13">
        <f t="shared" si="181"/>
        <v>16648</v>
      </c>
      <c r="Q506" s="13">
        <f t="shared" si="181"/>
        <v>2048</v>
      </c>
      <c r="R506" s="14">
        <f>Q506/L506</f>
        <v>0.14027397260273972</v>
      </c>
    </row>
    <row r="507" spans="3:18" ht="12.75" hidden="1">
      <c r="C507" s="9"/>
      <c r="D507" s="9"/>
      <c r="E507" s="9"/>
      <c r="F507" s="9"/>
      <c r="G507" s="9"/>
      <c r="H507" s="9"/>
      <c r="I507" s="9"/>
      <c r="J507" s="9"/>
      <c r="K507" s="10"/>
      <c r="L507" s="10"/>
      <c r="M507" s="10"/>
      <c r="N507" s="10"/>
      <c r="O507" s="10"/>
      <c r="P507" s="10"/>
      <c r="Q507" s="10"/>
      <c r="R507" s="11"/>
    </row>
    <row r="508" spans="1:18" ht="12.75" hidden="1">
      <c r="A508" t="s">
        <v>409</v>
      </c>
      <c r="B508" t="s">
        <v>410</v>
      </c>
      <c r="C508" s="9">
        <v>40000</v>
      </c>
      <c r="D508" s="9">
        <v>10000</v>
      </c>
      <c r="E508" s="9"/>
      <c r="F508" s="10">
        <f>D508+E508</f>
        <v>10000</v>
      </c>
      <c r="G508" s="10">
        <v>40000</v>
      </c>
      <c r="H508" s="10">
        <v>37000</v>
      </c>
      <c r="I508" s="9"/>
      <c r="J508" s="10">
        <f>H508+I508</f>
        <v>37000</v>
      </c>
      <c r="K508" s="10">
        <v>42700</v>
      </c>
      <c r="L508" s="10">
        <v>40000</v>
      </c>
      <c r="M508" s="10">
        <v>42700</v>
      </c>
      <c r="N508" s="10">
        <v>40000</v>
      </c>
      <c r="O508" s="10"/>
      <c r="P508" s="10">
        <f>N508+O508</f>
        <v>40000</v>
      </c>
      <c r="Q508" s="10">
        <f>P508-L508</f>
        <v>0</v>
      </c>
      <c r="R508" s="11">
        <f>Q508/L508</f>
        <v>0</v>
      </c>
    </row>
    <row r="509" spans="2:18" ht="12.75" hidden="1">
      <c r="B509" t="s">
        <v>411</v>
      </c>
      <c r="C509" s="9">
        <v>25000</v>
      </c>
      <c r="D509" s="9">
        <v>16500</v>
      </c>
      <c r="E509" s="9"/>
      <c r="F509" s="10">
        <f>D509+E509</f>
        <v>16500</v>
      </c>
      <c r="G509" s="10">
        <v>16500</v>
      </c>
      <c r="H509" s="10">
        <v>16500</v>
      </c>
      <c r="I509" s="9"/>
      <c r="J509" s="10">
        <f>H509+I509</f>
        <v>16500</v>
      </c>
      <c r="K509" s="10">
        <v>16500</v>
      </c>
      <c r="L509" s="10">
        <v>16500</v>
      </c>
      <c r="M509" s="10">
        <v>17000</v>
      </c>
      <c r="N509" s="10">
        <v>16500</v>
      </c>
      <c r="O509" s="10"/>
      <c r="P509" s="10">
        <f>N509+O509</f>
        <v>16500</v>
      </c>
      <c r="Q509" s="10">
        <f>P509-L509</f>
        <v>0</v>
      </c>
      <c r="R509" s="11">
        <f>Q509/L509</f>
        <v>0</v>
      </c>
    </row>
    <row r="510" spans="1:18" ht="12.75" hidden="1">
      <c r="A510" t="s">
        <v>412</v>
      </c>
      <c r="B510" t="s">
        <v>107</v>
      </c>
      <c r="C510" s="10">
        <v>3600</v>
      </c>
      <c r="D510" s="10">
        <v>3600</v>
      </c>
      <c r="E510" s="10"/>
      <c r="F510" s="10">
        <f>D510+E510</f>
        <v>3600</v>
      </c>
      <c r="G510" s="10">
        <v>4000</v>
      </c>
      <c r="H510" s="10">
        <v>4000</v>
      </c>
      <c r="I510" s="10"/>
      <c r="J510" s="10">
        <f>H510+I510</f>
        <v>4000</v>
      </c>
      <c r="K510" s="10">
        <v>4500</v>
      </c>
      <c r="L510" s="10">
        <v>4500</v>
      </c>
      <c r="M510" s="10">
        <v>4500</v>
      </c>
      <c r="N510" s="10">
        <v>4500</v>
      </c>
      <c r="O510" s="10"/>
      <c r="P510" s="10">
        <f>N510+O510</f>
        <v>4500</v>
      </c>
      <c r="Q510" s="10">
        <f>P510-L510</f>
        <v>0</v>
      </c>
      <c r="R510" s="11">
        <f>Q510/L510</f>
        <v>0</v>
      </c>
    </row>
    <row r="511" spans="2:18" ht="12.75">
      <c r="B511" s="8" t="s">
        <v>413</v>
      </c>
      <c r="C511" s="12">
        <f aca="true" t="shared" si="182" ref="C511:Q511">SUM(C508:C510)</f>
        <v>68600</v>
      </c>
      <c r="D511" s="12">
        <f t="shared" si="182"/>
        <v>30100</v>
      </c>
      <c r="E511" s="12">
        <f t="shared" si="182"/>
        <v>0</v>
      </c>
      <c r="F511" s="12">
        <f t="shared" si="182"/>
        <v>30100</v>
      </c>
      <c r="G511" s="12">
        <f t="shared" si="182"/>
        <v>60500</v>
      </c>
      <c r="H511" s="12">
        <f t="shared" si="182"/>
        <v>57500</v>
      </c>
      <c r="I511" s="12">
        <f t="shared" si="182"/>
        <v>0</v>
      </c>
      <c r="J511" s="12">
        <f t="shared" si="182"/>
        <v>57500</v>
      </c>
      <c r="K511" s="13">
        <f t="shared" si="182"/>
        <v>63700</v>
      </c>
      <c r="L511" s="13">
        <f t="shared" si="182"/>
        <v>61000</v>
      </c>
      <c r="M511" s="13">
        <f t="shared" si="182"/>
        <v>64200</v>
      </c>
      <c r="N511" s="13">
        <f t="shared" si="182"/>
        <v>61000</v>
      </c>
      <c r="O511" s="13">
        <f t="shared" si="182"/>
        <v>0</v>
      </c>
      <c r="P511" s="13">
        <f t="shared" si="182"/>
        <v>61000</v>
      </c>
      <c r="Q511" s="13">
        <f t="shared" si="182"/>
        <v>0</v>
      </c>
      <c r="R511" s="14">
        <f>Q511/L511</f>
        <v>0</v>
      </c>
    </row>
    <row r="512" spans="3:18" ht="12.75" hidden="1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15"/>
    </row>
    <row r="513" spans="2:18" s="16" customFormat="1" ht="12.75">
      <c r="B513" s="17" t="s">
        <v>414</v>
      </c>
      <c r="C513" s="18">
        <f aca="true" t="shared" si="183" ref="C513:Q513">SUM(C511+C506)</f>
        <v>80620</v>
      </c>
      <c r="D513" s="18">
        <f t="shared" si="183"/>
        <v>41455</v>
      </c>
      <c r="E513" s="18">
        <f t="shared" si="183"/>
        <v>0</v>
      </c>
      <c r="F513" s="18">
        <f t="shared" si="183"/>
        <v>41455</v>
      </c>
      <c r="G513" s="18">
        <f t="shared" si="183"/>
        <v>75100</v>
      </c>
      <c r="H513" s="18">
        <f t="shared" si="183"/>
        <v>70100</v>
      </c>
      <c r="I513" s="18">
        <f t="shared" si="183"/>
        <v>0</v>
      </c>
      <c r="J513" s="18">
        <f t="shared" si="183"/>
        <v>70100</v>
      </c>
      <c r="K513" s="18">
        <f t="shared" si="183"/>
        <v>80348</v>
      </c>
      <c r="L513" s="18">
        <f t="shared" si="183"/>
        <v>75600</v>
      </c>
      <c r="M513" s="18">
        <f>SUM(M511+M506)</f>
        <v>80848</v>
      </c>
      <c r="N513" s="18">
        <f>SUM(N511+N506)</f>
        <v>77648</v>
      </c>
      <c r="O513" s="18">
        <f>SUM(O511+O506)</f>
        <v>0</v>
      </c>
      <c r="P513" s="18">
        <f>SUM(P511+P506)</f>
        <v>77648</v>
      </c>
      <c r="Q513" s="18">
        <f t="shared" si="183"/>
        <v>2048</v>
      </c>
      <c r="R513" s="19">
        <f>Q513/L513</f>
        <v>0.02708994708994709</v>
      </c>
    </row>
    <row r="514" spans="3:17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9"/>
    </row>
    <row r="515" spans="2:18" ht="12.75">
      <c r="B515" s="8" t="s">
        <v>415</v>
      </c>
      <c r="C515" s="9"/>
      <c r="D515" s="9"/>
      <c r="E515" s="9"/>
      <c r="F515" s="9"/>
      <c r="G515" s="9"/>
      <c r="H515" s="9"/>
      <c r="I515" s="9"/>
      <c r="J515" s="9"/>
      <c r="K515" s="10"/>
      <c r="L515" s="10"/>
      <c r="M515" s="10"/>
      <c r="N515" s="10"/>
      <c r="O515" s="10"/>
      <c r="P515" s="10"/>
      <c r="Q515" s="28"/>
      <c r="R515" s="28"/>
    </row>
    <row r="516" spans="2:18" ht="12.75" hidden="1">
      <c r="B516" t="s">
        <v>416</v>
      </c>
      <c r="C516" s="10">
        <v>9500</v>
      </c>
      <c r="D516" s="10"/>
      <c r="E516" s="10"/>
      <c r="F516" s="10">
        <f>D516+E516</f>
        <v>0</v>
      </c>
      <c r="G516" s="10">
        <v>6000</v>
      </c>
      <c r="H516" s="10">
        <v>0</v>
      </c>
      <c r="I516" s="10"/>
      <c r="J516" s="10">
        <f>H516+I516</f>
        <v>0</v>
      </c>
      <c r="K516" s="10">
        <v>0</v>
      </c>
      <c r="L516" s="10">
        <v>0</v>
      </c>
      <c r="M516" s="10"/>
      <c r="N516" s="10"/>
      <c r="O516" s="10"/>
      <c r="P516" s="10"/>
      <c r="Q516" s="10">
        <f>P516-L516</f>
        <v>0</v>
      </c>
      <c r="R516" s="11" t="e">
        <f>Q516/L516</f>
        <v>#DIV/0!</v>
      </c>
    </row>
    <row r="517" spans="2:18" ht="12.75" hidden="1">
      <c r="B517" t="s">
        <v>417</v>
      </c>
      <c r="C517" s="10">
        <v>33000</v>
      </c>
      <c r="D517" s="10">
        <v>33000</v>
      </c>
      <c r="E517" s="10">
        <v>-3000</v>
      </c>
      <c r="F517" s="10">
        <f>D517+E517</f>
        <v>30000</v>
      </c>
      <c r="G517" s="10">
        <v>30000</v>
      </c>
      <c r="H517" s="10">
        <v>30000</v>
      </c>
      <c r="I517" s="10"/>
      <c r="J517" s="10">
        <f>H517+I517</f>
        <v>30000</v>
      </c>
      <c r="K517" s="10">
        <v>30000</v>
      </c>
      <c r="L517" s="10">
        <v>30000</v>
      </c>
      <c r="M517" s="10">
        <v>30000</v>
      </c>
      <c r="N517" s="10">
        <v>30000</v>
      </c>
      <c r="O517" s="10"/>
      <c r="P517" s="10">
        <f>N517+O517</f>
        <v>30000</v>
      </c>
      <c r="Q517" s="10">
        <f>P517-L517</f>
        <v>0</v>
      </c>
      <c r="R517" s="11">
        <f>Q517/L517</f>
        <v>0</v>
      </c>
    </row>
    <row r="518" spans="2:18" ht="12.75" hidden="1">
      <c r="B518" t="s">
        <v>418</v>
      </c>
      <c r="C518" s="10">
        <v>19000</v>
      </c>
      <c r="D518" s="10">
        <v>16500</v>
      </c>
      <c r="E518" s="10"/>
      <c r="F518" s="10">
        <f>D518+E518</f>
        <v>16500</v>
      </c>
      <c r="G518" s="10">
        <v>23000</v>
      </c>
      <c r="H518" s="10">
        <v>17000</v>
      </c>
      <c r="I518" s="10"/>
      <c r="J518" s="10">
        <f>H518+I518</f>
        <v>17000</v>
      </c>
      <c r="K518" s="10">
        <v>23500</v>
      </c>
      <c r="L518" s="10">
        <v>18100</v>
      </c>
      <c r="M518" s="10">
        <v>24000</v>
      </c>
      <c r="N518" s="10">
        <v>20000</v>
      </c>
      <c r="O518" s="10"/>
      <c r="P518" s="10">
        <f>N518+O518</f>
        <v>20000</v>
      </c>
      <c r="Q518" s="10">
        <f>P518-L518</f>
        <v>1900</v>
      </c>
      <c r="R518" s="11">
        <f>Q518/L518</f>
        <v>0.10497237569060773</v>
      </c>
    </row>
    <row r="519" spans="2:18" ht="12.75">
      <c r="B519" s="8" t="s">
        <v>20</v>
      </c>
      <c r="C519" s="12">
        <f aca="true" t="shared" si="184" ref="C519:Q519">SUM(C516:C518)</f>
        <v>61500</v>
      </c>
      <c r="D519" s="12">
        <f t="shared" si="184"/>
        <v>49500</v>
      </c>
      <c r="E519" s="12">
        <f t="shared" si="184"/>
        <v>-3000</v>
      </c>
      <c r="F519" s="12">
        <f t="shared" si="184"/>
        <v>46500</v>
      </c>
      <c r="G519" s="12">
        <f t="shared" si="184"/>
        <v>59000</v>
      </c>
      <c r="H519" s="12">
        <f t="shared" si="184"/>
        <v>47000</v>
      </c>
      <c r="I519" s="12">
        <f t="shared" si="184"/>
        <v>0</v>
      </c>
      <c r="J519" s="12">
        <f t="shared" si="184"/>
        <v>47000</v>
      </c>
      <c r="K519" s="13">
        <f t="shared" si="184"/>
        <v>53500</v>
      </c>
      <c r="L519" s="13">
        <f t="shared" si="184"/>
        <v>48100</v>
      </c>
      <c r="M519" s="13">
        <f t="shared" si="184"/>
        <v>54000</v>
      </c>
      <c r="N519" s="13">
        <f t="shared" si="184"/>
        <v>50000</v>
      </c>
      <c r="O519" s="13">
        <f t="shared" si="184"/>
        <v>0</v>
      </c>
      <c r="P519" s="13">
        <f t="shared" si="184"/>
        <v>50000</v>
      </c>
      <c r="Q519" s="13">
        <f t="shared" si="184"/>
        <v>1900</v>
      </c>
      <c r="R519" s="14">
        <f>Q519/L519</f>
        <v>0.0395010395010395</v>
      </c>
    </row>
    <row r="520" spans="3:18" ht="12.75" hidden="1">
      <c r="C520" s="9"/>
      <c r="D520" s="9"/>
      <c r="E520" s="9"/>
      <c r="F520" s="9"/>
      <c r="G520" s="9"/>
      <c r="H520" s="9"/>
      <c r="I520" s="9"/>
      <c r="J520" s="9"/>
      <c r="K520" s="10"/>
      <c r="L520" s="10"/>
      <c r="M520" s="10"/>
      <c r="N520" s="10"/>
      <c r="O520" s="10"/>
      <c r="P520" s="10"/>
      <c r="Q520" s="10"/>
      <c r="R520" s="11"/>
    </row>
    <row r="521" spans="1:18" ht="12.75" hidden="1">
      <c r="A521" t="s">
        <v>419</v>
      </c>
      <c r="B521" t="s">
        <v>224</v>
      </c>
      <c r="C521" s="9">
        <v>9000</v>
      </c>
      <c r="D521" s="9">
        <v>8500</v>
      </c>
      <c r="E521" s="9">
        <v>-1500</v>
      </c>
      <c r="F521" s="10">
        <f>D521+E521</f>
        <v>7000</v>
      </c>
      <c r="G521" s="10">
        <v>7000</v>
      </c>
      <c r="H521" s="10">
        <v>7000</v>
      </c>
      <c r="I521" s="9"/>
      <c r="J521" s="10">
        <f>H521+I521</f>
        <v>7000</v>
      </c>
      <c r="K521" s="10">
        <v>7000</v>
      </c>
      <c r="L521" s="10">
        <v>7000</v>
      </c>
      <c r="M521" s="10">
        <v>7000</v>
      </c>
      <c r="N521" s="10">
        <v>7000</v>
      </c>
      <c r="O521" s="10"/>
      <c r="P521" s="10">
        <f>N521+O521</f>
        <v>7000</v>
      </c>
      <c r="Q521" s="10">
        <f>P521-L521</f>
        <v>0</v>
      </c>
      <c r="R521" s="11">
        <f aca="true" t="shared" si="185" ref="R521:R526">Q521/L521</f>
        <v>0</v>
      </c>
    </row>
    <row r="522" spans="2:18" ht="12.75" hidden="1">
      <c r="B522" t="s">
        <v>226</v>
      </c>
      <c r="C522" s="9">
        <v>1400</v>
      </c>
      <c r="D522" s="9">
        <v>1400</v>
      </c>
      <c r="E522" s="9">
        <v>-500</v>
      </c>
      <c r="F522" s="10">
        <f>D522+E522</f>
        <v>900</v>
      </c>
      <c r="G522" s="10">
        <v>900</v>
      </c>
      <c r="H522" s="10">
        <v>900</v>
      </c>
      <c r="I522" s="9"/>
      <c r="J522" s="10">
        <f>H522+I522</f>
        <v>900</v>
      </c>
      <c r="K522" s="10">
        <v>900</v>
      </c>
      <c r="L522" s="10">
        <v>900</v>
      </c>
      <c r="M522" s="10">
        <v>900</v>
      </c>
      <c r="N522" s="10">
        <v>900</v>
      </c>
      <c r="O522" s="10"/>
      <c r="P522" s="10">
        <f>N522+O522</f>
        <v>900</v>
      </c>
      <c r="Q522" s="10">
        <f>P522-L522</f>
        <v>0</v>
      </c>
      <c r="R522" s="11">
        <f t="shared" si="185"/>
        <v>0</v>
      </c>
    </row>
    <row r="523" spans="2:18" ht="12.75" hidden="1">
      <c r="B523" t="s">
        <v>410</v>
      </c>
      <c r="C523" s="9">
        <v>7000</v>
      </c>
      <c r="D523" s="9">
        <v>7000</v>
      </c>
      <c r="E523" s="9"/>
      <c r="F523" s="10">
        <f>D523+E523</f>
        <v>7000</v>
      </c>
      <c r="G523" s="10">
        <v>7000</v>
      </c>
      <c r="H523" s="10">
        <v>7000</v>
      </c>
      <c r="I523" s="9"/>
      <c r="J523" s="10">
        <f>H523+I523</f>
        <v>7000</v>
      </c>
      <c r="K523" s="10">
        <v>8000</v>
      </c>
      <c r="L523" s="10">
        <v>7000</v>
      </c>
      <c r="M523" s="10">
        <v>8000</v>
      </c>
      <c r="N523" s="10">
        <v>7000</v>
      </c>
      <c r="O523" s="10"/>
      <c r="P523" s="10">
        <f>N523+O523</f>
        <v>7000</v>
      </c>
      <c r="Q523" s="10">
        <f>P523-L523</f>
        <v>0</v>
      </c>
      <c r="R523" s="11">
        <f t="shared" si="185"/>
        <v>0</v>
      </c>
    </row>
    <row r="524" spans="1:18" ht="12.75" hidden="1">
      <c r="A524" t="s">
        <v>420</v>
      </c>
      <c r="B524" t="s">
        <v>421</v>
      </c>
      <c r="C524" s="9">
        <v>5000</v>
      </c>
      <c r="D524" s="9">
        <v>5000</v>
      </c>
      <c r="E524" s="9"/>
      <c r="F524" s="10">
        <f>D524+E524</f>
        <v>5000</v>
      </c>
      <c r="G524" s="10">
        <v>10000</v>
      </c>
      <c r="H524" s="10">
        <v>5000</v>
      </c>
      <c r="I524" s="9"/>
      <c r="J524" s="10">
        <f>H524+I524</f>
        <v>5000</v>
      </c>
      <c r="K524" s="10">
        <v>10000</v>
      </c>
      <c r="L524" s="10">
        <v>5000</v>
      </c>
      <c r="M524" s="10">
        <v>10000</v>
      </c>
      <c r="N524" s="10">
        <v>5000</v>
      </c>
      <c r="O524" s="10"/>
      <c r="P524" s="10">
        <f>N524+O524</f>
        <v>5000</v>
      </c>
      <c r="Q524" s="10">
        <f>P524-L524</f>
        <v>0</v>
      </c>
      <c r="R524" s="11">
        <f t="shared" si="185"/>
        <v>0</v>
      </c>
    </row>
    <row r="525" spans="1:18" ht="12.75" hidden="1">
      <c r="A525" t="s">
        <v>422</v>
      </c>
      <c r="B525" t="s">
        <v>50</v>
      </c>
      <c r="C525" s="9">
        <v>500</v>
      </c>
      <c r="D525" s="9">
        <v>400</v>
      </c>
      <c r="E525" s="9"/>
      <c r="F525" s="10">
        <f>D525+E525</f>
        <v>400</v>
      </c>
      <c r="G525" s="10">
        <v>400</v>
      </c>
      <c r="H525" s="10">
        <v>400</v>
      </c>
      <c r="I525" s="9"/>
      <c r="J525" s="10">
        <f>H525+I525</f>
        <v>400</v>
      </c>
      <c r="K525" s="10">
        <v>400</v>
      </c>
      <c r="L525" s="10">
        <v>400</v>
      </c>
      <c r="M525" s="10">
        <v>400</v>
      </c>
      <c r="N525" s="10">
        <v>400</v>
      </c>
      <c r="O525" s="10"/>
      <c r="P525" s="10">
        <f>N525+O525</f>
        <v>400</v>
      </c>
      <c r="Q525" s="10">
        <f>P525-L525</f>
        <v>0</v>
      </c>
      <c r="R525" s="11">
        <f t="shared" si="185"/>
        <v>0</v>
      </c>
    </row>
    <row r="526" spans="2:18" ht="12.75">
      <c r="B526" s="8" t="s">
        <v>23</v>
      </c>
      <c r="C526" s="12">
        <f aca="true" t="shared" si="186" ref="C526:Q526">SUM(C521:C525)</f>
        <v>22900</v>
      </c>
      <c r="D526" s="12">
        <f t="shared" si="186"/>
        <v>22300</v>
      </c>
      <c r="E526" s="12">
        <f t="shared" si="186"/>
        <v>-2000</v>
      </c>
      <c r="F526" s="12">
        <f t="shared" si="186"/>
        <v>20300</v>
      </c>
      <c r="G526" s="12">
        <f t="shared" si="186"/>
        <v>25300</v>
      </c>
      <c r="H526" s="12">
        <f t="shared" si="186"/>
        <v>20300</v>
      </c>
      <c r="I526" s="12">
        <f t="shared" si="186"/>
        <v>0</v>
      </c>
      <c r="J526" s="12">
        <f t="shared" si="186"/>
        <v>20300</v>
      </c>
      <c r="K526" s="13">
        <f t="shared" si="186"/>
        <v>26300</v>
      </c>
      <c r="L526" s="13">
        <f t="shared" si="186"/>
        <v>20300</v>
      </c>
      <c r="M526" s="13">
        <f t="shared" si="186"/>
        <v>26300</v>
      </c>
      <c r="N526" s="13">
        <f t="shared" si="186"/>
        <v>20300</v>
      </c>
      <c r="O526" s="13">
        <f t="shared" si="186"/>
        <v>0</v>
      </c>
      <c r="P526" s="13">
        <f t="shared" si="186"/>
        <v>20300</v>
      </c>
      <c r="Q526" s="13">
        <f t="shared" si="186"/>
        <v>0</v>
      </c>
      <c r="R526" s="14">
        <f t="shared" si="185"/>
        <v>0</v>
      </c>
    </row>
    <row r="527" spans="2:18" ht="12.75" hidden="1">
      <c r="B527" s="8"/>
      <c r="C527" s="25"/>
      <c r="D527" s="25"/>
      <c r="E527" s="25"/>
      <c r="F527" s="25"/>
      <c r="G527" s="25"/>
      <c r="H527" s="25"/>
      <c r="I527" s="25"/>
      <c r="J527" s="25"/>
      <c r="K527" s="13"/>
      <c r="L527" s="13"/>
      <c r="M527" s="13"/>
      <c r="N527" s="13"/>
      <c r="O527" s="13"/>
      <c r="P527" s="13"/>
      <c r="Q527" s="13"/>
      <c r="R527" s="14"/>
    </row>
    <row r="528" spans="2:18" ht="12.75" hidden="1">
      <c r="B528" t="s">
        <v>247</v>
      </c>
      <c r="C528" s="38">
        <v>15000</v>
      </c>
      <c r="D528" s="38">
        <v>8000</v>
      </c>
      <c r="E528" s="38"/>
      <c r="F528" s="10">
        <f>D528+E528</f>
        <v>8000</v>
      </c>
      <c r="G528" s="10">
        <v>15000</v>
      </c>
      <c r="H528" s="10">
        <v>10000</v>
      </c>
      <c r="I528" s="38"/>
      <c r="J528" s="10">
        <f>H528+I528</f>
        <v>10000</v>
      </c>
      <c r="K528" s="10">
        <v>15000</v>
      </c>
      <c r="L528" s="10">
        <v>10000</v>
      </c>
      <c r="M528" s="10">
        <v>15000</v>
      </c>
      <c r="N528" s="10">
        <v>10000</v>
      </c>
      <c r="O528" s="10"/>
      <c r="P528" s="10">
        <f>N528+O528</f>
        <v>10000</v>
      </c>
      <c r="Q528" s="10">
        <f>P528-L528</f>
        <v>0</v>
      </c>
      <c r="R528" s="11">
        <f>Q528/L528</f>
        <v>0</v>
      </c>
    </row>
    <row r="529" spans="2:18" ht="12.75" hidden="1">
      <c r="B529" t="s">
        <v>107</v>
      </c>
      <c r="C529" s="38">
        <v>7000</v>
      </c>
      <c r="D529" s="38">
        <v>5500</v>
      </c>
      <c r="E529" s="38">
        <v>-1000</v>
      </c>
      <c r="F529" s="10">
        <f>D529+E529</f>
        <v>4500</v>
      </c>
      <c r="G529" s="10">
        <v>4500</v>
      </c>
      <c r="H529" s="10">
        <v>4500</v>
      </c>
      <c r="I529" s="38"/>
      <c r="J529" s="10">
        <f>H529+I529</f>
        <v>4500</v>
      </c>
      <c r="K529" s="10">
        <v>4500</v>
      </c>
      <c r="L529" s="10">
        <v>5000</v>
      </c>
      <c r="M529" s="10">
        <v>4500</v>
      </c>
      <c r="N529" s="10">
        <v>4500</v>
      </c>
      <c r="O529" s="10"/>
      <c r="P529" s="10">
        <f>N529+O529</f>
        <v>4500</v>
      </c>
      <c r="Q529" s="10">
        <f>P529-L529</f>
        <v>-500</v>
      </c>
      <c r="R529" s="11">
        <f>Q529/L529</f>
        <v>-0.1</v>
      </c>
    </row>
    <row r="530" spans="2:18" ht="12.75">
      <c r="B530" s="8" t="s">
        <v>53</v>
      </c>
      <c r="C530" s="12">
        <f aca="true" t="shared" si="187" ref="C530:Q530">SUM(C528:C529)</f>
        <v>22000</v>
      </c>
      <c r="D530" s="12">
        <f t="shared" si="187"/>
        <v>13500</v>
      </c>
      <c r="E530" s="12">
        <f t="shared" si="187"/>
        <v>-1000</v>
      </c>
      <c r="F530" s="12">
        <f t="shared" si="187"/>
        <v>12500</v>
      </c>
      <c r="G530" s="12">
        <f t="shared" si="187"/>
        <v>19500</v>
      </c>
      <c r="H530" s="12">
        <f t="shared" si="187"/>
        <v>14500</v>
      </c>
      <c r="I530" s="12">
        <f t="shared" si="187"/>
        <v>0</v>
      </c>
      <c r="J530" s="12">
        <f t="shared" si="187"/>
        <v>14500</v>
      </c>
      <c r="K530" s="13">
        <f t="shared" si="187"/>
        <v>19500</v>
      </c>
      <c r="L530" s="13">
        <f t="shared" si="187"/>
        <v>15000</v>
      </c>
      <c r="M530" s="13">
        <f t="shared" si="187"/>
        <v>19500</v>
      </c>
      <c r="N530" s="13">
        <f t="shared" si="187"/>
        <v>14500</v>
      </c>
      <c r="O530" s="13">
        <f t="shared" si="187"/>
        <v>0</v>
      </c>
      <c r="P530" s="13">
        <f t="shared" si="187"/>
        <v>14500</v>
      </c>
      <c r="Q530" s="13">
        <f t="shared" si="187"/>
        <v>-500</v>
      </c>
      <c r="R530" s="14">
        <f>Q530/L530</f>
        <v>-0.03333333333333333</v>
      </c>
    </row>
    <row r="531" spans="3:18" ht="12.75" hidden="1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15"/>
    </row>
    <row r="532" spans="1:18" s="16" customFormat="1" ht="12.75">
      <c r="A532" s="17"/>
      <c r="B532" s="17" t="s">
        <v>423</v>
      </c>
      <c r="C532" s="18">
        <f aca="true" t="shared" si="188" ref="C532:Q532">SUM(C526+C519+C530)</f>
        <v>106400</v>
      </c>
      <c r="D532" s="18">
        <f t="shared" si="188"/>
        <v>85300</v>
      </c>
      <c r="E532" s="18">
        <f t="shared" si="188"/>
        <v>-6000</v>
      </c>
      <c r="F532" s="18">
        <f t="shared" si="188"/>
        <v>79300</v>
      </c>
      <c r="G532" s="18">
        <f t="shared" si="188"/>
        <v>103800</v>
      </c>
      <c r="H532" s="18">
        <f t="shared" si="188"/>
        <v>81800</v>
      </c>
      <c r="I532" s="18">
        <f t="shared" si="188"/>
        <v>0</v>
      </c>
      <c r="J532" s="18">
        <f t="shared" si="188"/>
        <v>81800</v>
      </c>
      <c r="K532" s="18">
        <f t="shared" si="188"/>
        <v>99300</v>
      </c>
      <c r="L532" s="18">
        <f t="shared" si="188"/>
        <v>83400</v>
      </c>
      <c r="M532" s="18">
        <f>SUM(M526+M519+M530)</f>
        <v>99800</v>
      </c>
      <c r="N532" s="18">
        <f>SUM(N526+N519+N530)</f>
        <v>84800</v>
      </c>
      <c r="O532" s="18">
        <f>SUM(O526+O519+O530)</f>
        <v>0</v>
      </c>
      <c r="P532" s="18">
        <f>SUM(P526+P519+P530)</f>
        <v>84800</v>
      </c>
      <c r="Q532" s="18">
        <f t="shared" si="188"/>
        <v>1400</v>
      </c>
      <c r="R532" s="19">
        <f>Q532/L532</f>
        <v>0.016786570743405275</v>
      </c>
    </row>
    <row r="533" spans="3:17" ht="12.7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9"/>
    </row>
    <row r="534" spans="1:16" ht="12.75">
      <c r="A534" s="8"/>
      <c r="B534" s="8" t="s">
        <v>424</v>
      </c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1:18" ht="12.75" hidden="1">
      <c r="A535" t="s">
        <v>425</v>
      </c>
      <c r="B535" t="s">
        <v>426</v>
      </c>
      <c r="C535" s="38">
        <v>30000</v>
      </c>
      <c r="D535" s="38">
        <v>31280</v>
      </c>
      <c r="E535" s="38"/>
      <c r="F535" s="10">
        <f>D535+E535</f>
        <v>31280</v>
      </c>
      <c r="G535" s="10">
        <v>31280</v>
      </c>
      <c r="H535" s="10">
        <v>31280</v>
      </c>
      <c r="I535" s="38"/>
      <c r="J535" s="10">
        <f>H535+I535</f>
        <v>31280</v>
      </c>
      <c r="K535" s="10">
        <v>31280</v>
      </c>
      <c r="L535" s="10">
        <f>31280*1.015</f>
        <v>31749.199999999997</v>
      </c>
      <c r="M535" s="10">
        <v>32384</v>
      </c>
      <c r="N535" s="10">
        <v>32384</v>
      </c>
      <c r="O535" s="10"/>
      <c r="P535" s="10">
        <f>N535+O535</f>
        <v>32384</v>
      </c>
      <c r="Q535" s="10">
        <f>P535-L535</f>
        <v>634.8000000000029</v>
      </c>
      <c r="R535" s="11">
        <f>Q535/L535</f>
        <v>0.01999420457838317</v>
      </c>
    </row>
    <row r="536" spans="1:18" ht="12.75" hidden="1">
      <c r="A536" t="s">
        <v>427</v>
      </c>
      <c r="B536" t="s">
        <v>371</v>
      </c>
      <c r="C536" s="38">
        <f>(11993*1.03)</f>
        <v>12352.79</v>
      </c>
      <c r="D536" s="38">
        <v>0</v>
      </c>
      <c r="E536" s="38"/>
      <c r="F536" s="10">
        <f>D536+E536</f>
        <v>0</v>
      </c>
      <c r="G536" s="10">
        <v>0</v>
      </c>
      <c r="H536" s="10">
        <v>0</v>
      </c>
      <c r="I536" s="38"/>
      <c r="J536" s="10">
        <f>H536+I536</f>
        <v>0</v>
      </c>
      <c r="K536" s="10">
        <v>0</v>
      </c>
      <c r="L536" s="10">
        <v>0</v>
      </c>
      <c r="M536" s="10"/>
      <c r="N536" s="10"/>
      <c r="O536" s="10"/>
      <c r="P536" s="10">
        <f>N536+O536</f>
        <v>0</v>
      </c>
      <c r="Q536" s="10">
        <f>P536-L536</f>
        <v>0</v>
      </c>
      <c r="R536" s="11" t="e">
        <f>Q536/L536</f>
        <v>#DIV/0!</v>
      </c>
    </row>
    <row r="537" spans="1:18" ht="12.75" hidden="1">
      <c r="A537" t="s">
        <v>428</v>
      </c>
      <c r="B537" t="s">
        <v>429</v>
      </c>
      <c r="C537" s="38">
        <v>2600</v>
      </c>
      <c r="D537" s="38">
        <v>2600</v>
      </c>
      <c r="E537" s="38"/>
      <c r="F537" s="10">
        <f>D537+E537</f>
        <v>2600</v>
      </c>
      <c r="G537" s="10">
        <v>2600</v>
      </c>
      <c r="H537" s="10">
        <v>1600</v>
      </c>
      <c r="I537" s="38"/>
      <c r="J537" s="10">
        <f>H537+I537</f>
        <v>1600</v>
      </c>
      <c r="K537" s="10">
        <v>1600</v>
      </c>
      <c r="L537" s="10">
        <v>1600</v>
      </c>
      <c r="M537" s="10">
        <v>1600</v>
      </c>
      <c r="N537" s="10">
        <v>1600</v>
      </c>
      <c r="O537" s="10"/>
      <c r="P537" s="10">
        <f>N537+O537</f>
        <v>1600</v>
      </c>
      <c r="Q537" s="10">
        <f>P537-L537</f>
        <v>0</v>
      </c>
      <c r="R537" s="11">
        <f>Q537/L537</f>
        <v>0</v>
      </c>
    </row>
    <row r="538" spans="2:18" ht="12.75" hidden="1">
      <c r="B538" t="s">
        <v>39</v>
      </c>
      <c r="C538" s="9">
        <v>0</v>
      </c>
      <c r="D538" s="9">
        <v>0</v>
      </c>
      <c r="E538" s="9"/>
      <c r="F538" s="10">
        <f>D538+E538</f>
        <v>0</v>
      </c>
      <c r="G538" s="10">
        <v>0</v>
      </c>
      <c r="H538" s="10">
        <v>0</v>
      </c>
      <c r="I538" s="9"/>
      <c r="J538" s="10">
        <f>H538+I538</f>
        <v>0</v>
      </c>
      <c r="K538" s="10">
        <v>0</v>
      </c>
      <c r="L538" s="10">
        <v>0</v>
      </c>
      <c r="M538" s="10"/>
      <c r="N538" s="10"/>
      <c r="O538" s="10"/>
      <c r="P538" s="10">
        <f>N538+O538</f>
        <v>0</v>
      </c>
      <c r="Q538" s="10">
        <f>P538-L538</f>
        <v>0</v>
      </c>
      <c r="R538" s="11" t="e">
        <f>Q538/L538</f>
        <v>#DIV/0!</v>
      </c>
    </row>
    <row r="539" spans="2:18" ht="12.75">
      <c r="B539" s="8" t="s">
        <v>20</v>
      </c>
      <c r="C539" s="12">
        <f aca="true" t="shared" si="189" ref="C539:Q539">SUM(C535:C538)</f>
        <v>44952.79</v>
      </c>
      <c r="D539" s="12">
        <f t="shared" si="189"/>
        <v>33880</v>
      </c>
      <c r="E539" s="12">
        <f t="shared" si="189"/>
        <v>0</v>
      </c>
      <c r="F539" s="12">
        <f t="shared" si="189"/>
        <v>33880</v>
      </c>
      <c r="G539" s="12">
        <f t="shared" si="189"/>
        <v>33880</v>
      </c>
      <c r="H539" s="12">
        <f t="shared" si="189"/>
        <v>32880</v>
      </c>
      <c r="I539" s="12">
        <f t="shared" si="189"/>
        <v>0</v>
      </c>
      <c r="J539" s="12">
        <f t="shared" si="189"/>
        <v>32880</v>
      </c>
      <c r="K539" s="13">
        <f t="shared" si="189"/>
        <v>32880</v>
      </c>
      <c r="L539" s="13">
        <f t="shared" si="189"/>
        <v>33349.2</v>
      </c>
      <c r="M539" s="13">
        <f t="shared" si="189"/>
        <v>33984</v>
      </c>
      <c r="N539" s="13">
        <f t="shared" si="189"/>
        <v>33984</v>
      </c>
      <c r="O539" s="13">
        <f t="shared" si="189"/>
        <v>0</v>
      </c>
      <c r="P539" s="13">
        <f t="shared" si="189"/>
        <v>33984</v>
      </c>
      <c r="Q539" s="13">
        <f t="shared" si="189"/>
        <v>634.8000000000029</v>
      </c>
      <c r="R539" s="14">
        <f>Q539/L539</f>
        <v>0.019034939368860512</v>
      </c>
    </row>
    <row r="540" spans="3:18" ht="12.75" hidden="1">
      <c r="C540" s="9"/>
      <c r="D540" s="9"/>
      <c r="E540" s="9"/>
      <c r="F540" s="9"/>
      <c r="G540" s="9"/>
      <c r="H540" s="9"/>
      <c r="I540" s="9"/>
      <c r="J540" s="9"/>
      <c r="K540" s="10"/>
      <c r="L540" s="10"/>
      <c r="M540" s="10"/>
      <c r="N540" s="10"/>
      <c r="O540" s="10"/>
      <c r="P540" s="10"/>
      <c r="Q540" s="10"/>
      <c r="R540" s="11"/>
    </row>
    <row r="541" spans="2:18" ht="12.75" hidden="1">
      <c r="B541" t="s">
        <v>430</v>
      </c>
      <c r="C541" s="9"/>
      <c r="D541" s="9"/>
      <c r="E541" s="9"/>
      <c r="F541" s="9"/>
      <c r="G541" s="9"/>
      <c r="H541" s="9"/>
      <c r="I541" s="9"/>
      <c r="J541" s="9"/>
      <c r="K541" s="10"/>
      <c r="L541" s="10"/>
      <c r="M541" s="10"/>
      <c r="N541" s="10"/>
      <c r="O541" s="10"/>
      <c r="P541" s="10"/>
      <c r="Q541" s="10"/>
      <c r="R541" s="11"/>
    </row>
    <row r="542" spans="1:18" ht="12.75" hidden="1">
      <c r="A542" t="s">
        <v>431</v>
      </c>
      <c r="B542" t="s">
        <v>432</v>
      </c>
      <c r="C542" s="9">
        <v>5000</v>
      </c>
      <c r="D542" s="9">
        <v>4680</v>
      </c>
      <c r="E542" s="9"/>
      <c r="F542" s="10">
        <f aca="true" t="shared" si="190" ref="F542:J544">D542+E542</f>
        <v>4680</v>
      </c>
      <c r="G542" s="10">
        <v>4680</v>
      </c>
      <c r="H542" s="10">
        <v>4680</v>
      </c>
      <c r="I542" s="9"/>
      <c r="J542" s="10">
        <f t="shared" si="190"/>
        <v>4680</v>
      </c>
      <c r="K542" s="10">
        <v>4680</v>
      </c>
      <c r="L542" s="10">
        <v>5148</v>
      </c>
      <c r="M542" s="10">
        <v>5648</v>
      </c>
      <c r="N542" s="10">
        <v>5648</v>
      </c>
      <c r="O542" s="10"/>
      <c r="P542" s="10">
        <f>N542+O542</f>
        <v>5648</v>
      </c>
      <c r="Q542" s="10">
        <f>P542-L542</f>
        <v>500</v>
      </c>
      <c r="R542" s="11">
        <f>Q542/L542</f>
        <v>0.09712509712509712</v>
      </c>
    </row>
    <row r="543" spans="1:18" ht="12.75" hidden="1">
      <c r="A543" t="s">
        <v>433</v>
      </c>
      <c r="B543" t="s">
        <v>388</v>
      </c>
      <c r="C543" s="9">
        <v>0</v>
      </c>
      <c r="D543" s="9">
        <v>0</v>
      </c>
      <c r="E543" s="9"/>
      <c r="F543" s="10">
        <f t="shared" si="190"/>
        <v>0</v>
      </c>
      <c r="G543" s="10">
        <f t="shared" si="190"/>
        <v>0</v>
      </c>
      <c r="H543" s="10">
        <f t="shared" si="190"/>
        <v>0</v>
      </c>
      <c r="I543" s="9"/>
      <c r="J543" s="10">
        <f t="shared" si="190"/>
        <v>0</v>
      </c>
      <c r="K543" s="10">
        <f>I543+J543</f>
        <v>0</v>
      </c>
      <c r="L543" s="10">
        <f>J543+K543</f>
        <v>0</v>
      </c>
      <c r="M543" s="10"/>
      <c r="N543" s="10"/>
      <c r="O543" s="10"/>
      <c r="P543" s="10">
        <f>N543+O543</f>
        <v>0</v>
      </c>
      <c r="Q543" s="10">
        <f>P543-L543</f>
        <v>0</v>
      </c>
      <c r="R543" s="11" t="e">
        <f>Q543/L543</f>
        <v>#DIV/0!</v>
      </c>
    </row>
    <row r="544" spans="1:18" ht="12.75" hidden="1">
      <c r="A544" t="s">
        <v>434</v>
      </c>
      <c r="B544" t="s">
        <v>50</v>
      </c>
      <c r="C544" s="9">
        <v>800</v>
      </c>
      <c r="D544" s="9">
        <v>800</v>
      </c>
      <c r="E544" s="9"/>
      <c r="F544" s="10">
        <f t="shared" si="190"/>
        <v>800</v>
      </c>
      <c r="G544" s="10">
        <v>800</v>
      </c>
      <c r="H544" s="10">
        <v>1300</v>
      </c>
      <c r="I544" s="9"/>
      <c r="J544" s="10">
        <f t="shared" si="190"/>
        <v>1300</v>
      </c>
      <c r="K544" s="10">
        <v>1300</v>
      </c>
      <c r="L544" s="10">
        <v>1300</v>
      </c>
      <c r="M544" s="10">
        <v>1300</v>
      </c>
      <c r="N544" s="10">
        <v>1300</v>
      </c>
      <c r="O544" s="10"/>
      <c r="P544" s="10">
        <f>N544+O544</f>
        <v>1300</v>
      </c>
      <c r="Q544" s="10">
        <f>P544-L544</f>
        <v>0</v>
      </c>
      <c r="R544" s="11">
        <f>Q544/L544</f>
        <v>0</v>
      </c>
    </row>
    <row r="545" spans="1:18" ht="12.75" hidden="1">
      <c r="A545" t="s">
        <v>435</v>
      </c>
      <c r="B545" t="s">
        <v>436</v>
      </c>
      <c r="C545" s="24">
        <v>0</v>
      </c>
      <c r="D545" s="24">
        <v>0</v>
      </c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>
        <f>J545-F545</f>
        <v>0</v>
      </c>
      <c r="R545" s="11" t="e">
        <f>Q545/#REF!</f>
        <v>#REF!</v>
      </c>
    </row>
    <row r="546" spans="2:18" ht="12.75">
      <c r="B546" s="8" t="s">
        <v>23</v>
      </c>
      <c r="C546" s="12">
        <f aca="true" t="shared" si="191" ref="C546:Q546">SUM(C542:C545)</f>
        <v>5800</v>
      </c>
      <c r="D546" s="12">
        <f t="shared" si="191"/>
        <v>5480</v>
      </c>
      <c r="E546" s="12">
        <f t="shared" si="191"/>
        <v>0</v>
      </c>
      <c r="F546" s="12">
        <f t="shared" si="191"/>
        <v>5480</v>
      </c>
      <c r="G546" s="12">
        <f t="shared" si="191"/>
        <v>5480</v>
      </c>
      <c r="H546" s="12">
        <f t="shared" si="191"/>
        <v>5980</v>
      </c>
      <c r="I546" s="12">
        <f t="shared" si="191"/>
        <v>0</v>
      </c>
      <c r="J546" s="12">
        <f t="shared" si="191"/>
        <v>5980</v>
      </c>
      <c r="K546" s="13">
        <f t="shared" si="191"/>
        <v>5980</v>
      </c>
      <c r="L546" s="13">
        <f t="shared" si="191"/>
        <v>6448</v>
      </c>
      <c r="M546" s="13">
        <f t="shared" si="191"/>
        <v>6948</v>
      </c>
      <c r="N546" s="13">
        <f t="shared" si="191"/>
        <v>6948</v>
      </c>
      <c r="O546" s="13">
        <f t="shared" si="191"/>
        <v>0</v>
      </c>
      <c r="P546" s="13">
        <f t="shared" si="191"/>
        <v>6948</v>
      </c>
      <c r="Q546" s="13">
        <f t="shared" si="191"/>
        <v>500</v>
      </c>
      <c r="R546" s="14">
        <f>Q546/L546</f>
        <v>0.07754342431761786</v>
      </c>
    </row>
    <row r="547" spans="3:18" ht="12.75" hidden="1">
      <c r="C547" s="9"/>
      <c r="D547" s="9"/>
      <c r="E547" s="9"/>
      <c r="F547" s="9"/>
      <c r="G547" s="9"/>
      <c r="H547" s="9"/>
      <c r="I547" s="9"/>
      <c r="J547" s="9"/>
      <c r="K547" s="10"/>
      <c r="L547" s="10"/>
      <c r="M547" s="10"/>
      <c r="N547" s="10"/>
      <c r="O547" s="10"/>
      <c r="P547" s="10"/>
      <c r="Q547" s="10"/>
      <c r="R547" s="11"/>
    </row>
    <row r="548" spans="1:18" ht="12.75" hidden="1">
      <c r="A548" t="s">
        <v>437</v>
      </c>
      <c r="B548" t="s">
        <v>52</v>
      </c>
      <c r="C548" s="10">
        <v>1300</v>
      </c>
      <c r="D548" s="10">
        <v>2000</v>
      </c>
      <c r="E548" s="10">
        <v>-500</v>
      </c>
      <c r="F548" s="10">
        <f>D548+E548</f>
        <v>1500</v>
      </c>
      <c r="G548" s="10">
        <v>1000</v>
      </c>
      <c r="H548" s="10">
        <v>1000</v>
      </c>
      <c r="I548" s="10"/>
      <c r="J548" s="10">
        <f>H548+I548</f>
        <v>1000</v>
      </c>
      <c r="K548" s="10">
        <v>1000</v>
      </c>
      <c r="L548" s="10">
        <v>1000</v>
      </c>
      <c r="M548" s="10">
        <v>1000</v>
      </c>
      <c r="N548" s="10">
        <v>1000</v>
      </c>
      <c r="O548" s="10"/>
      <c r="P548" s="10">
        <f>N548+O548</f>
        <v>1000</v>
      </c>
      <c r="Q548" s="10">
        <f>P548-L548</f>
        <v>0</v>
      </c>
      <c r="R548" s="11">
        <f>Q548/L548</f>
        <v>0</v>
      </c>
    </row>
    <row r="549" spans="2:18" ht="12.75" hidden="1">
      <c r="B549" t="s">
        <v>107</v>
      </c>
      <c r="C549" s="10">
        <v>1000</v>
      </c>
      <c r="D549" s="10">
        <v>0</v>
      </c>
      <c r="E549" s="10"/>
      <c r="F549" s="10">
        <f>D549+E549</f>
        <v>0</v>
      </c>
      <c r="G549" s="10">
        <v>0</v>
      </c>
      <c r="H549" s="10">
        <v>0</v>
      </c>
      <c r="I549" s="10"/>
      <c r="J549" s="10">
        <f>H549+I549</f>
        <v>0</v>
      </c>
      <c r="K549" s="10">
        <v>0</v>
      </c>
      <c r="L549" s="10">
        <v>0</v>
      </c>
      <c r="M549" s="10"/>
      <c r="N549" s="10"/>
      <c r="O549" s="10"/>
      <c r="P549" s="10">
        <f>N549+O549</f>
        <v>0</v>
      </c>
      <c r="Q549" s="10">
        <f>P549-L549</f>
        <v>0</v>
      </c>
      <c r="R549" s="11" t="e">
        <f>Q549/L549</f>
        <v>#DIV/0!</v>
      </c>
    </row>
    <row r="550" spans="2:18" ht="12.75">
      <c r="B550" s="8" t="s">
        <v>53</v>
      </c>
      <c r="C550" s="12">
        <f aca="true" t="shared" si="192" ref="C550:Q550">SUM(C548:C549)</f>
        <v>2300</v>
      </c>
      <c r="D550" s="12">
        <f t="shared" si="192"/>
        <v>2000</v>
      </c>
      <c r="E550" s="12">
        <f t="shared" si="192"/>
        <v>-500</v>
      </c>
      <c r="F550" s="12">
        <f t="shared" si="192"/>
        <v>1500</v>
      </c>
      <c r="G550" s="12">
        <f t="shared" si="192"/>
        <v>1000</v>
      </c>
      <c r="H550" s="12">
        <f t="shared" si="192"/>
        <v>1000</v>
      </c>
      <c r="I550" s="12">
        <f t="shared" si="192"/>
        <v>0</v>
      </c>
      <c r="J550" s="12">
        <f t="shared" si="192"/>
        <v>1000</v>
      </c>
      <c r="K550" s="13">
        <f t="shared" si="192"/>
        <v>1000</v>
      </c>
      <c r="L550" s="13">
        <f t="shared" si="192"/>
        <v>1000</v>
      </c>
      <c r="M550" s="13">
        <f t="shared" si="192"/>
        <v>1000</v>
      </c>
      <c r="N550" s="13">
        <f t="shared" si="192"/>
        <v>1000</v>
      </c>
      <c r="O550" s="13">
        <f t="shared" si="192"/>
        <v>0</v>
      </c>
      <c r="P550" s="13">
        <f t="shared" si="192"/>
        <v>1000</v>
      </c>
      <c r="Q550" s="13">
        <f t="shared" si="192"/>
        <v>0</v>
      </c>
      <c r="R550" s="14">
        <f>Q550/L550</f>
        <v>0</v>
      </c>
    </row>
    <row r="551" spans="3:18" ht="12.75" hidden="1">
      <c r="C551" s="9"/>
      <c r="D551" s="9"/>
      <c r="E551" s="9"/>
      <c r="F551" s="9"/>
      <c r="G551" s="9"/>
      <c r="H551" s="9"/>
      <c r="I551" s="9"/>
      <c r="J551" s="9"/>
      <c r="K551" s="10"/>
      <c r="L551" s="10"/>
      <c r="M551" s="10"/>
      <c r="N551" s="10"/>
      <c r="O551" s="10"/>
      <c r="P551" s="10"/>
      <c r="Q551" s="10"/>
      <c r="R551" s="11"/>
    </row>
    <row r="552" spans="1:18" ht="12.75" hidden="1">
      <c r="A552" t="s">
        <v>438</v>
      </c>
      <c r="B552" t="s">
        <v>25</v>
      </c>
      <c r="C552" s="10">
        <v>750</v>
      </c>
      <c r="D552" s="10">
        <v>1000</v>
      </c>
      <c r="E552" s="10"/>
      <c r="F552" s="10">
        <f>D552+E552</f>
        <v>1000</v>
      </c>
      <c r="G552" s="10">
        <v>1000</v>
      </c>
      <c r="H552" s="10">
        <v>1000</v>
      </c>
      <c r="I552" s="10"/>
      <c r="J552" s="10">
        <f>H552+I552</f>
        <v>1000</v>
      </c>
      <c r="K552" s="10">
        <v>1000</v>
      </c>
      <c r="L552" s="10">
        <v>1200</v>
      </c>
      <c r="M552" s="10">
        <v>3240</v>
      </c>
      <c r="N552" s="10">
        <v>3240</v>
      </c>
      <c r="O552" s="10"/>
      <c r="P552" s="10">
        <f>N552+O552</f>
        <v>3240</v>
      </c>
      <c r="Q552" s="10">
        <f>P552-L552</f>
        <v>2040</v>
      </c>
      <c r="R552" s="11">
        <f>Q552/L552</f>
        <v>1.7</v>
      </c>
    </row>
    <row r="553" spans="2:18" ht="12.75" hidden="1">
      <c r="B553" t="s">
        <v>55</v>
      </c>
      <c r="C553" s="10">
        <v>500</v>
      </c>
      <c r="D553" s="10">
        <v>500</v>
      </c>
      <c r="E553" s="10"/>
      <c r="F553" s="10">
        <f>D553+E553</f>
        <v>500</v>
      </c>
      <c r="G553" s="10">
        <v>500</v>
      </c>
      <c r="H553" s="10">
        <v>500</v>
      </c>
      <c r="I553" s="10"/>
      <c r="J553" s="10">
        <f>H553+I553</f>
        <v>500</v>
      </c>
      <c r="K553" s="10">
        <v>500</v>
      </c>
      <c r="L553" s="10">
        <v>500</v>
      </c>
      <c r="M553" s="10">
        <v>500</v>
      </c>
      <c r="N553" s="10">
        <v>500</v>
      </c>
      <c r="O553" s="10"/>
      <c r="P553" s="10">
        <f>N553+O553</f>
        <v>500</v>
      </c>
      <c r="Q553" s="10">
        <f>P553-L553</f>
        <v>0</v>
      </c>
      <c r="R553" s="11">
        <f>Q553/L553</f>
        <v>0</v>
      </c>
    </row>
    <row r="554" spans="2:18" ht="12.75">
      <c r="B554" s="8" t="s">
        <v>27</v>
      </c>
      <c r="C554" s="12">
        <f>SUM(C552:C553)</f>
        <v>1250</v>
      </c>
      <c r="D554" s="12">
        <f>SUM(D552:D553)</f>
        <v>1500</v>
      </c>
      <c r="E554" s="12"/>
      <c r="F554" s="12">
        <f>SUM(F552:F553)</f>
        <v>1500</v>
      </c>
      <c r="G554" s="12">
        <f>SUM(G552:G553)</f>
        <v>1500</v>
      </c>
      <c r="H554" s="12">
        <f>SUM(H552:H553)</f>
        <v>1500</v>
      </c>
      <c r="I554" s="12"/>
      <c r="J554" s="12">
        <f aca="true" t="shared" si="193" ref="J554:Q554">SUM(J552:J553)</f>
        <v>1500</v>
      </c>
      <c r="K554" s="13">
        <f t="shared" si="193"/>
        <v>1500</v>
      </c>
      <c r="L554" s="13">
        <f t="shared" si="193"/>
        <v>1700</v>
      </c>
      <c r="M554" s="13">
        <f t="shared" si="193"/>
        <v>3740</v>
      </c>
      <c r="N554" s="13">
        <f t="shared" si="193"/>
        <v>3740</v>
      </c>
      <c r="O554" s="13">
        <f t="shared" si="193"/>
        <v>0</v>
      </c>
      <c r="P554" s="13">
        <f t="shared" si="193"/>
        <v>3740</v>
      </c>
      <c r="Q554" s="13">
        <f t="shared" si="193"/>
        <v>2040</v>
      </c>
      <c r="R554" s="14">
        <f>Q554/L554</f>
        <v>1.2</v>
      </c>
    </row>
    <row r="555" spans="3:18" ht="12.75" hidden="1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15"/>
    </row>
    <row r="556" spans="1:18" s="16" customFormat="1" ht="12.75">
      <c r="A556" s="17"/>
      <c r="B556" s="17" t="s">
        <v>439</v>
      </c>
      <c r="C556" s="18">
        <f aca="true" t="shared" si="194" ref="C556:Q556">SUM(C554+C550+C546+C539)</f>
        <v>54302.79</v>
      </c>
      <c r="D556" s="18">
        <f t="shared" si="194"/>
        <v>42860</v>
      </c>
      <c r="E556" s="18">
        <f t="shared" si="194"/>
        <v>-500</v>
      </c>
      <c r="F556" s="18">
        <f t="shared" si="194"/>
        <v>42360</v>
      </c>
      <c r="G556" s="18">
        <f t="shared" si="194"/>
        <v>41860</v>
      </c>
      <c r="H556" s="18">
        <f t="shared" si="194"/>
        <v>41360</v>
      </c>
      <c r="I556" s="18">
        <f t="shared" si="194"/>
        <v>0</v>
      </c>
      <c r="J556" s="18">
        <f t="shared" si="194"/>
        <v>41360</v>
      </c>
      <c r="K556" s="18">
        <f t="shared" si="194"/>
        <v>41360</v>
      </c>
      <c r="L556" s="18">
        <f t="shared" si="194"/>
        <v>42497.2</v>
      </c>
      <c r="M556" s="18">
        <f>SUM(M554+M550+M546+M539)</f>
        <v>45672</v>
      </c>
      <c r="N556" s="18">
        <f>SUM(N554+N550+N546+N539)</f>
        <v>45672</v>
      </c>
      <c r="O556" s="18">
        <f>SUM(O554+O550+O546+O539)</f>
        <v>0</v>
      </c>
      <c r="P556" s="18">
        <f>SUM(P554+P550+P546+P539)</f>
        <v>45672</v>
      </c>
      <c r="Q556" s="18">
        <f t="shared" si="194"/>
        <v>3174.800000000003</v>
      </c>
      <c r="R556" s="19">
        <f>Q556/L556</f>
        <v>0.07470609828412232</v>
      </c>
    </row>
    <row r="557" spans="3:17" ht="12.7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9"/>
    </row>
    <row r="558" spans="1:18" ht="12.75">
      <c r="A558" s="8"/>
      <c r="B558" s="8" t="s">
        <v>440</v>
      </c>
      <c r="C558" s="9"/>
      <c r="D558" s="9"/>
      <c r="E558" s="9"/>
      <c r="F558" s="9"/>
      <c r="G558" s="9"/>
      <c r="H558" s="9"/>
      <c r="I558" s="9"/>
      <c r="J558" s="9"/>
      <c r="K558" s="10"/>
      <c r="L558" s="10"/>
      <c r="M558" s="10"/>
      <c r="N558" s="10"/>
      <c r="O558" s="10"/>
      <c r="P558" s="10"/>
      <c r="Q558" s="28"/>
      <c r="R558" s="28"/>
    </row>
    <row r="559" spans="1:18" ht="12.75" hidden="1">
      <c r="A559" t="s">
        <v>441</v>
      </c>
      <c r="B559" t="s">
        <v>442</v>
      </c>
      <c r="C559" s="9">
        <v>45191</v>
      </c>
      <c r="D559" s="9">
        <v>46537</v>
      </c>
      <c r="E559" s="9"/>
      <c r="F559" s="10">
        <f aca="true" t="shared" si="195" ref="F559:F566">D559+E559</f>
        <v>46537</v>
      </c>
      <c r="G559" s="10">
        <v>46537</v>
      </c>
      <c r="H559" s="10">
        <v>46537</v>
      </c>
      <c r="I559" s="9"/>
      <c r="J559" s="10">
        <f aca="true" t="shared" si="196" ref="J559:J566">H559+I559</f>
        <v>46537</v>
      </c>
      <c r="K559" s="31">
        <v>49370</v>
      </c>
      <c r="L559" s="31">
        <v>49370</v>
      </c>
      <c r="M559" s="39">
        <v>49370</v>
      </c>
      <c r="N559" s="39">
        <v>49370</v>
      </c>
      <c r="O559" s="39"/>
      <c r="P559" s="10">
        <f aca="true" t="shared" si="197" ref="P559:P566">N559+O559</f>
        <v>49370</v>
      </c>
      <c r="Q559" s="10">
        <f aca="true" t="shared" si="198" ref="Q559:Q566">P559-L559</f>
        <v>0</v>
      </c>
      <c r="R559" s="11">
        <f aca="true" t="shared" si="199" ref="R559:R566">Q559/L559</f>
        <v>0</v>
      </c>
    </row>
    <row r="560" spans="2:18" ht="12.75" hidden="1">
      <c r="B560" t="s">
        <v>443</v>
      </c>
      <c r="C560" s="9">
        <v>16848</v>
      </c>
      <c r="D560" s="9">
        <v>8424</v>
      </c>
      <c r="E560" s="9"/>
      <c r="F560" s="10">
        <f t="shared" si="195"/>
        <v>8424</v>
      </c>
      <c r="G560" s="10">
        <v>16848</v>
      </c>
      <c r="H560" s="10">
        <v>8424</v>
      </c>
      <c r="I560" s="9"/>
      <c r="J560" s="10">
        <f t="shared" si="196"/>
        <v>8424</v>
      </c>
      <c r="K560" s="31">
        <v>17784</v>
      </c>
      <c r="L560" s="31">
        <v>17784</v>
      </c>
      <c r="M560" s="39">
        <v>17784</v>
      </c>
      <c r="N560" s="39">
        <v>17784</v>
      </c>
      <c r="O560" s="39"/>
      <c r="P560" s="10">
        <f t="shared" si="197"/>
        <v>17784</v>
      </c>
      <c r="Q560" s="10">
        <f t="shared" si="198"/>
        <v>0</v>
      </c>
      <c r="R560" s="11">
        <f t="shared" si="199"/>
        <v>0</v>
      </c>
    </row>
    <row r="561" spans="1:18" ht="12.75" hidden="1">
      <c r="A561" t="s">
        <v>444</v>
      </c>
      <c r="B561" t="s">
        <v>445</v>
      </c>
      <c r="C561" s="9">
        <f>14040+4680</f>
        <v>18720</v>
      </c>
      <c r="D561" s="9">
        <f>14040</f>
        <v>14040</v>
      </c>
      <c r="E561" s="9"/>
      <c r="F561" s="10">
        <f t="shared" si="195"/>
        <v>14040</v>
      </c>
      <c r="G561" s="10">
        <v>15912</v>
      </c>
      <c r="H561" s="10">
        <v>14040</v>
      </c>
      <c r="I561" s="9"/>
      <c r="J561" s="10">
        <f t="shared" si="196"/>
        <v>14040</v>
      </c>
      <c r="K561" s="31">
        <v>14976</v>
      </c>
      <c r="L561" s="31">
        <v>14976</v>
      </c>
      <c r="M561" s="39">
        <v>14976</v>
      </c>
      <c r="N561" s="39">
        <v>14976</v>
      </c>
      <c r="O561" s="39"/>
      <c r="P561" s="10">
        <f t="shared" si="197"/>
        <v>14976</v>
      </c>
      <c r="Q561" s="10">
        <f t="shared" si="198"/>
        <v>0</v>
      </c>
      <c r="R561" s="11">
        <f t="shared" si="199"/>
        <v>0</v>
      </c>
    </row>
    <row r="562" spans="1:18" ht="12.75" hidden="1">
      <c r="A562" t="s">
        <v>446</v>
      </c>
      <c r="B562" t="s">
        <v>447</v>
      </c>
      <c r="C562" s="9">
        <v>14040</v>
      </c>
      <c r="D562" s="9">
        <v>7020</v>
      </c>
      <c r="E562" s="9"/>
      <c r="F562" s="10">
        <f t="shared" si="195"/>
        <v>7020</v>
      </c>
      <c r="G562" s="10">
        <v>7020</v>
      </c>
      <c r="H562" s="10">
        <v>7020</v>
      </c>
      <c r="I562" s="9"/>
      <c r="J562" s="10">
        <f t="shared" si="196"/>
        <v>7020</v>
      </c>
      <c r="K562" s="31">
        <v>16796</v>
      </c>
      <c r="L562" s="31">
        <v>7020</v>
      </c>
      <c r="M562" s="39">
        <v>16796</v>
      </c>
      <c r="N562" s="39">
        <v>7020</v>
      </c>
      <c r="O562" s="39"/>
      <c r="P562" s="10">
        <f t="shared" si="197"/>
        <v>7020</v>
      </c>
      <c r="Q562" s="10">
        <f t="shared" si="198"/>
        <v>0</v>
      </c>
      <c r="R562" s="11">
        <f t="shared" si="199"/>
        <v>0</v>
      </c>
    </row>
    <row r="563" spans="1:18" ht="12.75" hidden="1">
      <c r="A563" t="s">
        <v>448</v>
      </c>
      <c r="B563" t="s">
        <v>449</v>
      </c>
      <c r="C563" s="9">
        <v>5200</v>
      </c>
      <c r="D563" s="9">
        <v>5200</v>
      </c>
      <c r="E563" s="9"/>
      <c r="F563" s="10">
        <f t="shared" si="195"/>
        <v>5200</v>
      </c>
      <c r="G563" s="10">
        <v>5200</v>
      </c>
      <c r="H563" s="10">
        <v>5200</v>
      </c>
      <c r="I563" s="9"/>
      <c r="J563" s="10">
        <f t="shared" si="196"/>
        <v>5200</v>
      </c>
      <c r="K563" s="31">
        <v>6240</v>
      </c>
      <c r="L563" s="31">
        <v>5200</v>
      </c>
      <c r="M563" s="39">
        <v>6240</v>
      </c>
      <c r="N563" s="39">
        <v>5200</v>
      </c>
      <c r="O563" s="39"/>
      <c r="P563" s="10">
        <f t="shared" si="197"/>
        <v>5200</v>
      </c>
      <c r="Q563" s="10">
        <f t="shared" si="198"/>
        <v>0</v>
      </c>
      <c r="R563" s="11">
        <f t="shared" si="199"/>
        <v>0</v>
      </c>
    </row>
    <row r="564" spans="2:18" ht="12.75" hidden="1">
      <c r="B564" t="s">
        <v>450</v>
      </c>
      <c r="C564" s="9">
        <v>0</v>
      </c>
      <c r="D564" s="9"/>
      <c r="E564" s="9"/>
      <c r="F564" s="10">
        <f t="shared" si="195"/>
        <v>0</v>
      </c>
      <c r="G564" s="10">
        <v>2000</v>
      </c>
      <c r="H564" s="10"/>
      <c r="I564" s="9"/>
      <c r="J564" s="10">
        <f t="shared" si="196"/>
        <v>0</v>
      </c>
      <c r="K564" s="31"/>
      <c r="L564" s="31"/>
      <c r="M564" s="39"/>
      <c r="N564" s="39"/>
      <c r="O564" s="39"/>
      <c r="P564" s="10">
        <f t="shared" si="197"/>
        <v>0</v>
      </c>
      <c r="Q564" s="10">
        <f t="shared" si="198"/>
        <v>0</v>
      </c>
      <c r="R564" s="11" t="e">
        <f t="shared" si="199"/>
        <v>#DIV/0!</v>
      </c>
    </row>
    <row r="565" spans="2:18" ht="12.75" hidden="1">
      <c r="B565" t="s">
        <v>76</v>
      </c>
      <c r="C565" s="9">
        <v>1500</v>
      </c>
      <c r="D565" s="9">
        <v>1500</v>
      </c>
      <c r="E565" s="9"/>
      <c r="F565" s="10">
        <f t="shared" si="195"/>
        <v>1500</v>
      </c>
      <c r="G565" s="10">
        <v>1500</v>
      </c>
      <c r="H565" s="10">
        <v>1500</v>
      </c>
      <c r="I565" s="9"/>
      <c r="J565" s="10">
        <f t="shared" si="196"/>
        <v>1500</v>
      </c>
      <c r="K565" s="31">
        <v>1500</v>
      </c>
      <c r="L565" s="31">
        <v>1500</v>
      </c>
      <c r="M565" s="39">
        <v>1500</v>
      </c>
      <c r="N565" s="39">
        <v>1500</v>
      </c>
      <c r="O565" s="39"/>
      <c r="P565" s="10">
        <f t="shared" si="197"/>
        <v>1500</v>
      </c>
      <c r="Q565" s="10">
        <f t="shared" si="198"/>
        <v>0</v>
      </c>
      <c r="R565" s="11">
        <f t="shared" si="199"/>
        <v>0</v>
      </c>
    </row>
    <row r="566" spans="2:18" ht="12.75" hidden="1">
      <c r="B566" t="s">
        <v>39</v>
      </c>
      <c r="C566" s="10"/>
      <c r="D566" s="10"/>
      <c r="E566" s="10"/>
      <c r="F566" s="10">
        <f t="shared" si="195"/>
        <v>0</v>
      </c>
      <c r="G566" s="10">
        <v>0</v>
      </c>
      <c r="H566" s="10">
        <v>0</v>
      </c>
      <c r="I566" s="10"/>
      <c r="J566" s="10">
        <f t="shared" si="196"/>
        <v>0</v>
      </c>
      <c r="K566" s="31">
        <v>400</v>
      </c>
      <c r="L566" s="31">
        <v>400</v>
      </c>
      <c r="M566" s="39">
        <v>1200</v>
      </c>
      <c r="N566" s="39">
        <v>1200</v>
      </c>
      <c r="O566" s="39"/>
      <c r="P566" s="10">
        <f t="shared" si="197"/>
        <v>1200</v>
      </c>
      <c r="Q566" s="10">
        <f t="shared" si="198"/>
        <v>800</v>
      </c>
      <c r="R566" s="11">
        <f t="shared" si="199"/>
        <v>2</v>
      </c>
    </row>
    <row r="567" spans="2:18" ht="12.75">
      <c r="B567" s="8" t="s">
        <v>20</v>
      </c>
      <c r="C567" s="12">
        <f aca="true" t="shared" si="200" ref="C567:Q567">SUM(C559:C566)</f>
        <v>101499</v>
      </c>
      <c r="D567" s="12">
        <f t="shared" si="200"/>
        <v>82721</v>
      </c>
      <c r="E567" s="12">
        <f t="shared" si="200"/>
        <v>0</v>
      </c>
      <c r="F567" s="12">
        <f t="shared" si="200"/>
        <v>82721</v>
      </c>
      <c r="G567" s="12">
        <f t="shared" si="200"/>
        <v>95017</v>
      </c>
      <c r="H567" s="12">
        <f t="shared" si="200"/>
        <v>82721</v>
      </c>
      <c r="I567" s="12">
        <f t="shared" si="200"/>
        <v>0</v>
      </c>
      <c r="J567" s="12">
        <f t="shared" si="200"/>
        <v>82721</v>
      </c>
      <c r="K567" s="22">
        <f t="shared" si="200"/>
        <v>107066</v>
      </c>
      <c r="L567" s="22">
        <f>SUM(L559:L566)</f>
        <v>96250</v>
      </c>
      <c r="M567" s="22">
        <f>SUM(M559:M566)</f>
        <v>107866</v>
      </c>
      <c r="N567" s="22">
        <f>SUM(N559:N566)</f>
        <v>97050</v>
      </c>
      <c r="O567" s="22">
        <f>SUM(O559:O566)</f>
        <v>0</v>
      </c>
      <c r="P567" s="22">
        <f>SUM(P559:P566)</f>
        <v>97050</v>
      </c>
      <c r="Q567" s="13">
        <f t="shared" si="200"/>
        <v>800</v>
      </c>
      <c r="R567" s="14">
        <f>Q567/L567</f>
        <v>0.008311688311688312</v>
      </c>
    </row>
    <row r="568" spans="3:18" ht="12.75" hidden="1">
      <c r="C568" s="9"/>
      <c r="D568" s="9"/>
      <c r="E568" s="9"/>
      <c r="F568" s="9"/>
      <c r="G568" s="9"/>
      <c r="H568" s="9"/>
      <c r="I568" s="9"/>
      <c r="J568" s="9"/>
      <c r="K568" s="31"/>
      <c r="L568" s="31"/>
      <c r="M568" s="39"/>
      <c r="N568" s="39"/>
      <c r="O568" s="39"/>
      <c r="P568" s="39"/>
      <c r="Q568" s="10"/>
      <c r="R568" s="11"/>
    </row>
    <row r="569" spans="1:18" ht="12.75" hidden="1">
      <c r="A569" t="s">
        <v>451</v>
      </c>
      <c r="B569" t="s">
        <v>278</v>
      </c>
      <c r="C569" s="9">
        <v>6000</v>
      </c>
      <c r="D569" s="9">
        <v>8000</v>
      </c>
      <c r="E569" s="9">
        <v>-400</v>
      </c>
      <c r="F569" s="10">
        <f aca="true" t="shared" si="201" ref="F569:F577">D569+E569</f>
        <v>7600</v>
      </c>
      <c r="G569" s="10">
        <v>8000</v>
      </c>
      <c r="H569" s="10">
        <v>8000</v>
      </c>
      <c r="I569" s="9"/>
      <c r="J569" s="10">
        <f aca="true" t="shared" si="202" ref="J569:J577">H569+I569</f>
        <v>8000</v>
      </c>
      <c r="K569" s="31">
        <v>7000</v>
      </c>
      <c r="L569" s="31">
        <v>7000</v>
      </c>
      <c r="M569" s="39">
        <v>8000</v>
      </c>
      <c r="N569" s="39">
        <v>8000</v>
      </c>
      <c r="O569" s="39"/>
      <c r="P569" s="10">
        <f aca="true" t="shared" si="203" ref="P569:P577">N569+O569</f>
        <v>8000</v>
      </c>
      <c r="Q569" s="10">
        <f aca="true" t="shared" si="204" ref="Q569:Q577">P569-L569</f>
        <v>1000</v>
      </c>
      <c r="R569" s="11">
        <f aca="true" t="shared" si="205" ref="R569:R577">Q569/L569</f>
        <v>0.14285714285714285</v>
      </c>
    </row>
    <row r="570" spans="2:18" ht="12.75" hidden="1">
      <c r="B570" t="s">
        <v>279</v>
      </c>
      <c r="C570" s="9">
        <v>6000</v>
      </c>
      <c r="D570" s="9">
        <v>8000</v>
      </c>
      <c r="E570" s="9">
        <v>-1000</v>
      </c>
      <c r="F570" s="10">
        <f t="shared" si="201"/>
        <v>7000</v>
      </c>
      <c r="G570" s="10">
        <v>7000</v>
      </c>
      <c r="H570" s="10">
        <v>7000</v>
      </c>
      <c r="I570" s="9"/>
      <c r="J570" s="10">
        <f t="shared" si="202"/>
        <v>7000</v>
      </c>
      <c r="K570" s="31">
        <v>6000</v>
      </c>
      <c r="L570" s="31">
        <v>6000</v>
      </c>
      <c r="M570" s="39">
        <v>5000</v>
      </c>
      <c r="N570" s="39">
        <v>5000</v>
      </c>
      <c r="O570" s="39"/>
      <c r="P570" s="10">
        <f t="shared" si="203"/>
        <v>5000</v>
      </c>
      <c r="Q570" s="10">
        <f t="shared" si="204"/>
        <v>-1000</v>
      </c>
      <c r="R570" s="11">
        <f t="shared" si="205"/>
        <v>-0.16666666666666666</v>
      </c>
    </row>
    <row r="571" spans="2:18" ht="12.75" hidden="1">
      <c r="B571" t="s">
        <v>452</v>
      </c>
      <c r="C571" s="9">
        <v>1000</v>
      </c>
      <c r="D571" s="9">
        <v>1000</v>
      </c>
      <c r="E571" s="9"/>
      <c r="F571" s="10">
        <f t="shared" si="201"/>
        <v>1000</v>
      </c>
      <c r="G571" s="10">
        <v>2000</v>
      </c>
      <c r="H571" s="10">
        <v>2000</v>
      </c>
      <c r="I571" s="9"/>
      <c r="J571" s="10">
        <f t="shared" si="202"/>
        <v>2000</v>
      </c>
      <c r="K571" s="31">
        <v>1000</v>
      </c>
      <c r="L571" s="31">
        <v>1000</v>
      </c>
      <c r="M571" s="39">
        <v>1000</v>
      </c>
      <c r="N571" s="39">
        <v>1000</v>
      </c>
      <c r="O571" s="39"/>
      <c r="P571" s="10">
        <f t="shared" si="203"/>
        <v>1000</v>
      </c>
      <c r="Q571" s="10">
        <f t="shared" si="204"/>
        <v>0</v>
      </c>
      <c r="R571" s="11">
        <f t="shared" si="205"/>
        <v>0</v>
      </c>
    </row>
    <row r="572" spans="2:18" ht="12.75" hidden="1">
      <c r="B572" t="s">
        <v>453</v>
      </c>
      <c r="C572" s="9">
        <v>3000</v>
      </c>
      <c r="D572" s="9">
        <v>3000</v>
      </c>
      <c r="E572" s="9"/>
      <c r="F572" s="10">
        <f t="shared" si="201"/>
        <v>3000</v>
      </c>
      <c r="G572" s="10">
        <v>3000</v>
      </c>
      <c r="H572" s="10">
        <v>3000</v>
      </c>
      <c r="I572" s="9"/>
      <c r="J572" s="10">
        <f t="shared" si="202"/>
        <v>3000</v>
      </c>
      <c r="K572" s="31">
        <v>3000</v>
      </c>
      <c r="L572" s="31">
        <v>3000</v>
      </c>
      <c r="M572" s="39">
        <v>3000</v>
      </c>
      <c r="N572" s="39">
        <v>3000</v>
      </c>
      <c r="O572" s="39"/>
      <c r="P572" s="10">
        <f t="shared" si="203"/>
        <v>3000</v>
      </c>
      <c r="Q572" s="10">
        <f t="shared" si="204"/>
        <v>0</v>
      </c>
      <c r="R572" s="11">
        <f t="shared" si="205"/>
        <v>0</v>
      </c>
    </row>
    <row r="573" spans="1:18" ht="12.75" hidden="1">
      <c r="A573" t="s">
        <v>454</v>
      </c>
      <c r="B573" t="s">
        <v>455</v>
      </c>
      <c r="C573" s="9">
        <v>500</v>
      </c>
      <c r="D573" s="9">
        <v>500</v>
      </c>
      <c r="E573" s="9"/>
      <c r="F573" s="10">
        <f t="shared" si="201"/>
        <v>500</v>
      </c>
      <c r="G573" s="10">
        <v>500</v>
      </c>
      <c r="H573" s="10">
        <v>500</v>
      </c>
      <c r="I573" s="9"/>
      <c r="J573" s="10">
        <f t="shared" si="202"/>
        <v>500</v>
      </c>
      <c r="K573" s="31">
        <v>500</v>
      </c>
      <c r="L573" s="31">
        <v>500</v>
      </c>
      <c r="M573" s="39">
        <v>500</v>
      </c>
      <c r="N573" s="39">
        <v>500</v>
      </c>
      <c r="O573" s="39"/>
      <c r="P573" s="10">
        <f t="shared" si="203"/>
        <v>500</v>
      </c>
      <c r="Q573" s="10">
        <f t="shared" si="204"/>
        <v>0</v>
      </c>
      <c r="R573" s="11">
        <f t="shared" si="205"/>
        <v>0</v>
      </c>
    </row>
    <row r="574" spans="1:20" ht="12.75" hidden="1">
      <c r="A574" t="s">
        <v>456</v>
      </c>
      <c r="B574" t="s">
        <v>388</v>
      </c>
      <c r="C574" s="9"/>
      <c r="D574" s="9"/>
      <c r="E574" s="9"/>
      <c r="F574" s="10">
        <f t="shared" si="201"/>
        <v>0</v>
      </c>
      <c r="G574" s="10">
        <v>1000</v>
      </c>
      <c r="H574" s="10">
        <v>0</v>
      </c>
      <c r="I574" s="9"/>
      <c r="J574" s="10">
        <f t="shared" si="202"/>
        <v>0</v>
      </c>
      <c r="K574" s="31"/>
      <c r="L574" s="31"/>
      <c r="M574" s="39"/>
      <c r="N574" s="39"/>
      <c r="O574" s="39"/>
      <c r="P574" s="10">
        <f t="shared" si="203"/>
        <v>0</v>
      </c>
      <c r="Q574" s="10">
        <f t="shared" si="204"/>
        <v>0</v>
      </c>
      <c r="R574" s="11" t="e">
        <f t="shared" si="205"/>
        <v>#DIV/0!</v>
      </c>
      <c r="T574">
        <f>150*12</f>
        <v>1800</v>
      </c>
    </row>
    <row r="575" spans="2:20" ht="12.75" hidden="1">
      <c r="B575" t="s">
        <v>50</v>
      </c>
      <c r="C575" s="10">
        <v>2500</v>
      </c>
      <c r="D575" s="10">
        <v>2500</v>
      </c>
      <c r="E575" s="10"/>
      <c r="F575" s="10">
        <f t="shared" si="201"/>
        <v>2500</v>
      </c>
      <c r="G575" s="10">
        <v>2500</v>
      </c>
      <c r="H575" s="10">
        <v>2000</v>
      </c>
      <c r="I575" s="10"/>
      <c r="J575" s="10">
        <f t="shared" si="202"/>
        <v>2000</v>
      </c>
      <c r="K575" s="31">
        <v>2000</v>
      </c>
      <c r="L575" s="31">
        <v>2000</v>
      </c>
      <c r="M575" s="39">
        <v>2000</v>
      </c>
      <c r="N575" s="39">
        <v>2000</v>
      </c>
      <c r="O575" s="39"/>
      <c r="P575" s="10">
        <f t="shared" si="203"/>
        <v>2000</v>
      </c>
      <c r="Q575" s="10">
        <f t="shared" si="204"/>
        <v>0</v>
      </c>
      <c r="R575" s="11">
        <f t="shared" si="205"/>
        <v>0</v>
      </c>
      <c r="T575">
        <f>60*12</f>
        <v>720</v>
      </c>
    </row>
    <row r="576" spans="2:18" ht="12.75" hidden="1">
      <c r="B576" t="s">
        <v>60</v>
      </c>
      <c r="C576" s="9"/>
      <c r="D576" s="9"/>
      <c r="E576" s="9"/>
      <c r="F576" s="10">
        <f t="shared" si="201"/>
        <v>0</v>
      </c>
      <c r="G576" s="10">
        <v>0</v>
      </c>
      <c r="H576" s="10">
        <v>0</v>
      </c>
      <c r="I576" s="9"/>
      <c r="J576" s="10">
        <f t="shared" si="202"/>
        <v>0</v>
      </c>
      <c r="K576" s="31"/>
      <c r="L576" s="31"/>
      <c r="M576" s="39"/>
      <c r="N576" s="39"/>
      <c r="O576" s="39"/>
      <c r="P576" s="10">
        <f t="shared" si="203"/>
        <v>0</v>
      </c>
      <c r="Q576" s="10">
        <f t="shared" si="204"/>
        <v>0</v>
      </c>
      <c r="R576" s="11" t="e">
        <f t="shared" si="205"/>
        <v>#DIV/0!</v>
      </c>
    </row>
    <row r="577" spans="1:18" ht="12.75" hidden="1">
      <c r="A577" t="s">
        <v>457</v>
      </c>
      <c r="B577" t="s">
        <v>458</v>
      </c>
      <c r="C577" s="10">
        <v>1500</v>
      </c>
      <c r="D577" s="10">
        <v>1000</v>
      </c>
      <c r="E577" s="10"/>
      <c r="F577" s="10">
        <f t="shared" si="201"/>
        <v>1000</v>
      </c>
      <c r="G577" s="10">
        <v>3000</v>
      </c>
      <c r="H577" s="10">
        <v>1500</v>
      </c>
      <c r="I577" s="10"/>
      <c r="J577" s="10">
        <f t="shared" si="202"/>
        <v>1500</v>
      </c>
      <c r="K577" s="31">
        <v>1000</v>
      </c>
      <c r="L577" s="31">
        <v>1000</v>
      </c>
      <c r="M577" s="39">
        <v>1000</v>
      </c>
      <c r="N577" s="39">
        <v>1000</v>
      </c>
      <c r="O577" s="39"/>
      <c r="P577" s="10">
        <f t="shared" si="203"/>
        <v>1000</v>
      </c>
      <c r="Q577" s="10">
        <f t="shared" si="204"/>
        <v>0</v>
      </c>
      <c r="R577" s="11">
        <f t="shared" si="205"/>
        <v>0</v>
      </c>
    </row>
    <row r="578" spans="2:18" ht="12.75">
      <c r="B578" s="8" t="s">
        <v>23</v>
      </c>
      <c r="C578" s="12">
        <f aca="true" t="shared" si="206" ref="C578:Q578">SUM(C569:C577)</f>
        <v>20500</v>
      </c>
      <c r="D578" s="12">
        <f t="shared" si="206"/>
        <v>24000</v>
      </c>
      <c r="E578" s="12">
        <f t="shared" si="206"/>
        <v>-1400</v>
      </c>
      <c r="F578" s="12">
        <f t="shared" si="206"/>
        <v>22600</v>
      </c>
      <c r="G578" s="12">
        <f t="shared" si="206"/>
        <v>27000</v>
      </c>
      <c r="H578" s="12">
        <f t="shared" si="206"/>
        <v>24000</v>
      </c>
      <c r="I578" s="12">
        <f t="shared" si="206"/>
        <v>0</v>
      </c>
      <c r="J578" s="12">
        <f t="shared" si="206"/>
        <v>24000</v>
      </c>
      <c r="K578" s="22">
        <f t="shared" si="206"/>
        <v>20500</v>
      </c>
      <c r="L578" s="22">
        <f>SUM(L569:L577)</f>
        <v>20500</v>
      </c>
      <c r="M578" s="22">
        <f>SUM(M569:M577)</f>
        <v>20500</v>
      </c>
      <c r="N578" s="22">
        <f>SUM(N569:N577)</f>
        <v>20500</v>
      </c>
      <c r="O578" s="22">
        <f>SUM(O569:O577)</f>
        <v>0</v>
      </c>
      <c r="P578" s="22">
        <f>SUM(P569:P577)</f>
        <v>20500</v>
      </c>
      <c r="Q578" s="13">
        <f t="shared" si="206"/>
        <v>0</v>
      </c>
      <c r="R578" s="14">
        <f>Q578/L578</f>
        <v>0</v>
      </c>
    </row>
    <row r="579" spans="3:18" ht="12.75" hidden="1">
      <c r="C579" s="9"/>
      <c r="D579" s="9"/>
      <c r="E579" s="9"/>
      <c r="F579" s="9"/>
      <c r="G579" s="9"/>
      <c r="H579" s="9"/>
      <c r="I579" s="9"/>
      <c r="J579" s="9"/>
      <c r="K579" s="31"/>
      <c r="L579" s="31"/>
      <c r="M579" s="39"/>
      <c r="N579" s="39"/>
      <c r="O579" s="39"/>
      <c r="P579" s="39"/>
      <c r="Q579" s="10"/>
      <c r="R579" s="11"/>
    </row>
    <row r="580" spans="1:18" ht="12.75" hidden="1">
      <c r="A580" t="s">
        <v>459</v>
      </c>
      <c r="B580" t="s">
        <v>52</v>
      </c>
      <c r="C580" s="9">
        <v>1500</v>
      </c>
      <c r="D580" s="9">
        <v>1500</v>
      </c>
      <c r="E580" s="9"/>
      <c r="F580" s="10">
        <f>D580+E580</f>
        <v>1500</v>
      </c>
      <c r="G580" s="10">
        <v>1500</v>
      </c>
      <c r="H580" s="10">
        <v>1500</v>
      </c>
      <c r="I580" s="9"/>
      <c r="J580" s="10">
        <f>H580+I580</f>
        <v>1500</v>
      </c>
      <c r="K580" s="31">
        <v>2000</v>
      </c>
      <c r="L580" s="31">
        <v>1500</v>
      </c>
      <c r="M580" s="39">
        <v>1500</v>
      </c>
      <c r="N580" s="39">
        <v>1500</v>
      </c>
      <c r="O580" s="39"/>
      <c r="P580" s="10">
        <f>N580+O580</f>
        <v>1500</v>
      </c>
      <c r="Q580" s="10">
        <f>P580-L580</f>
        <v>0</v>
      </c>
      <c r="R580" s="11">
        <f>Q580/L580</f>
        <v>0</v>
      </c>
    </row>
    <row r="581" spans="2:18" ht="12.75" hidden="1">
      <c r="B581" t="s">
        <v>107</v>
      </c>
      <c r="C581" s="9">
        <v>2000</v>
      </c>
      <c r="D581" s="9">
        <v>2000</v>
      </c>
      <c r="E581" s="9"/>
      <c r="F581" s="10">
        <f>D581+E581</f>
        <v>2000</v>
      </c>
      <c r="G581" s="10">
        <v>2000</v>
      </c>
      <c r="H581" s="10">
        <v>2000</v>
      </c>
      <c r="I581" s="9"/>
      <c r="J581" s="10">
        <f>H581+I581</f>
        <v>2000</v>
      </c>
      <c r="K581" s="31">
        <v>2000</v>
      </c>
      <c r="L581" s="31">
        <v>2000</v>
      </c>
      <c r="M581" s="39">
        <v>3000</v>
      </c>
      <c r="N581" s="39">
        <v>3000</v>
      </c>
      <c r="O581" s="39"/>
      <c r="P581" s="10">
        <f>N581+O581</f>
        <v>3000</v>
      </c>
      <c r="Q581" s="10">
        <f>P581-L581</f>
        <v>1000</v>
      </c>
      <c r="R581" s="11">
        <f>Q581/L581</f>
        <v>0.5</v>
      </c>
    </row>
    <row r="582" spans="2:18" ht="12.75">
      <c r="B582" s="8" t="s">
        <v>53</v>
      </c>
      <c r="C582" s="12">
        <f aca="true" t="shared" si="207" ref="C582:Q582">SUM(C580:C581)</f>
        <v>3500</v>
      </c>
      <c r="D582" s="12">
        <f t="shared" si="207"/>
        <v>3500</v>
      </c>
      <c r="E582" s="12">
        <f t="shared" si="207"/>
        <v>0</v>
      </c>
      <c r="F582" s="12">
        <f t="shared" si="207"/>
        <v>3500</v>
      </c>
      <c r="G582" s="12">
        <f t="shared" si="207"/>
        <v>3500</v>
      </c>
      <c r="H582" s="12">
        <f t="shared" si="207"/>
        <v>3500</v>
      </c>
      <c r="I582" s="12">
        <f t="shared" si="207"/>
        <v>0</v>
      </c>
      <c r="J582" s="12">
        <f t="shared" si="207"/>
        <v>3500</v>
      </c>
      <c r="K582" s="22">
        <f t="shared" si="207"/>
        <v>4000</v>
      </c>
      <c r="L582" s="22">
        <f>SUM(L580:L581)</f>
        <v>3500</v>
      </c>
      <c r="M582" s="22">
        <f>SUM(M580:M581)</f>
        <v>4500</v>
      </c>
      <c r="N582" s="22">
        <f>SUM(N580:N581)</f>
        <v>4500</v>
      </c>
      <c r="O582" s="22">
        <f>SUM(O580:O581)</f>
        <v>0</v>
      </c>
      <c r="P582" s="22">
        <f>SUM(P580:P581)</f>
        <v>4500</v>
      </c>
      <c r="Q582" s="13">
        <f t="shared" si="207"/>
        <v>1000</v>
      </c>
      <c r="R582" s="14">
        <f>Q582/L582</f>
        <v>0.2857142857142857</v>
      </c>
    </row>
    <row r="583" spans="3:18" ht="12.75" hidden="1">
      <c r="C583" s="9"/>
      <c r="D583" s="9"/>
      <c r="E583" s="9"/>
      <c r="F583" s="9"/>
      <c r="G583" s="9"/>
      <c r="H583" s="9"/>
      <c r="I583" s="9"/>
      <c r="J583" s="9"/>
      <c r="K583" s="31"/>
      <c r="L583" s="31"/>
      <c r="M583" s="39"/>
      <c r="N583" s="39"/>
      <c r="O583" s="39"/>
      <c r="P583" s="39"/>
      <c r="Q583" s="10"/>
      <c r="R583" s="11"/>
    </row>
    <row r="584" spans="1:18" ht="12.75" hidden="1">
      <c r="A584" t="s">
        <v>460</v>
      </c>
      <c r="B584" t="s">
        <v>25</v>
      </c>
      <c r="C584" s="10">
        <v>500</v>
      </c>
      <c r="D584" s="10">
        <v>500</v>
      </c>
      <c r="E584" s="10"/>
      <c r="F584" s="10">
        <f>D584+E584</f>
        <v>500</v>
      </c>
      <c r="G584" s="10">
        <v>500</v>
      </c>
      <c r="H584" s="10">
        <v>500</v>
      </c>
      <c r="I584" s="10"/>
      <c r="J584" s="10">
        <f>H584+I584</f>
        <v>500</v>
      </c>
      <c r="K584" s="31">
        <v>500</v>
      </c>
      <c r="L584" s="31">
        <v>500</v>
      </c>
      <c r="M584" s="39">
        <v>500</v>
      </c>
      <c r="N584" s="39">
        <v>500</v>
      </c>
      <c r="O584" s="39"/>
      <c r="P584" s="10">
        <f>N584+O584</f>
        <v>500</v>
      </c>
      <c r="Q584" s="10">
        <f>P584-L584</f>
        <v>0</v>
      </c>
      <c r="R584" s="11">
        <f>Q584/L584</f>
        <v>0</v>
      </c>
    </row>
    <row r="585" spans="2:18" ht="12.75" hidden="1">
      <c r="B585" t="s">
        <v>55</v>
      </c>
      <c r="C585" s="10">
        <v>1200</v>
      </c>
      <c r="D585" s="10">
        <v>1200</v>
      </c>
      <c r="E585" s="10">
        <v>-100</v>
      </c>
      <c r="F585" s="10">
        <f>D585+E585</f>
        <v>1100</v>
      </c>
      <c r="G585" s="10">
        <v>1100</v>
      </c>
      <c r="H585" s="10">
        <v>1100</v>
      </c>
      <c r="I585" s="10"/>
      <c r="J585" s="10">
        <f>H585+I585</f>
        <v>1100</v>
      </c>
      <c r="K585" s="31">
        <v>1000</v>
      </c>
      <c r="L585" s="31">
        <v>1000</v>
      </c>
      <c r="M585" s="39">
        <v>1000</v>
      </c>
      <c r="N585" s="39">
        <v>1000</v>
      </c>
      <c r="O585" s="39"/>
      <c r="P585" s="10">
        <f>N585+O585</f>
        <v>1000</v>
      </c>
      <c r="Q585" s="10">
        <f>P585-L585</f>
        <v>0</v>
      </c>
      <c r="R585" s="11">
        <f>Q585/L585</f>
        <v>0</v>
      </c>
    </row>
    <row r="586" spans="2:18" ht="12.75">
      <c r="B586" s="8" t="s">
        <v>27</v>
      </c>
      <c r="C586" s="12">
        <f aca="true" t="shared" si="208" ref="C586:Q586">SUM(C584:C585)</f>
        <v>1700</v>
      </c>
      <c r="D586" s="12">
        <f t="shared" si="208"/>
        <v>1700</v>
      </c>
      <c r="E586" s="12">
        <f t="shared" si="208"/>
        <v>-100</v>
      </c>
      <c r="F586" s="12">
        <f t="shared" si="208"/>
        <v>1600</v>
      </c>
      <c r="G586" s="12">
        <f t="shared" si="208"/>
        <v>1600</v>
      </c>
      <c r="H586" s="12">
        <f t="shared" si="208"/>
        <v>1600</v>
      </c>
      <c r="I586" s="12">
        <f t="shared" si="208"/>
        <v>0</v>
      </c>
      <c r="J586" s="12">
        <f t="shared" si="208"/>
        <v>1600</v>
      </c>
      <c r="K586" s="13">
        <f t="shared" si="208"/>
        <v>1500</v>
      </c>
      <c r="L586" s="13">
        <f t="shared" si="208"/>
        <v>1500</v>
      </c>
      <c r="M586" s="13">
        <f t="shared" si="208"/>
        <v>1500</v>
      </c>
      <c r="N586" s="13">
        <f t="shared" si="208"/>
        <v>1500</v>
      </c>
      <c r="O586" s="13">
        <f t="shared" si="208"/>
        <v>0</v>
      </c>
      <c r="P586" s="13">
        <f t="shared" si="208"/>
        <v>1500</v>
      </c>
      <c r="Q586" s="13">
        <f t="shared" si="208"/>
        <v>0</v>
      </c>
      <c r="R586" s="14">
        <f>Q586/L586</f>
        <v>0</v>
      </c>
    </row>
    <row r="587" spans="2:18" ht="12.75" hidden="1">
      <c r="B587" s="8"/>
      <c r="C587" s="25"/>
      <c r="D587" s="25"/>
      <c r="E587" s="25"/>
      <c r="F587" s="25"/>
      <c r="G587" s="25"/>
      <c r="H587" s="25"/>
      <c r="I587" s="25"/>
      <c r="J587" s="25"/>
      <c r="K587" s="13"/>
      <c r="L587" s="13"/>
      <c r="M587" s="13"/>
      <c r="N587" s="13"/>
      <c r="O587" s="13"/>
      <c r="P587" s="13"/>
      <c r="Q587" s="13"/>
      <c r="R587" s="14"/>
    </row>
    <row r="588" spans="1:18" ht="12.75" hidden="1">
      <c r="A588" t="s">
        <v>461</v>
      </c>
      <c r="B588" s="20" t="s">
        <v>297</v>
      </c>
      <c r="C588" s="26">
        <v>0</v>
      </c>
      <c r="D588" s="26">
        <v>0</v>
      </c>
      <c r="E588" s="26"/>
      <c r="F588" s="10">
        <f>D588+E588</f>
        <v>0</v>
      </c>
      <c r="G588" s="10"/>
      <c r="H588" s="10"/>
      <c r="I588" s="26"/>
      <c r="J588" s="10">
        <f>H588+I588</f>
        <v>0</v>
      </c>
      <c r="K588" s="10"/>
      <c r="L588" s="10"/>
      <c r="M588" s="10"/>
      <c r="N588" s="10"/>
      <c r="O588" s="10"/>
      <c r="P588" s="10">
        <f>N588+O588</f>
        <v>0</v>
      </c>
      <c r="Q588" s="10">
        <f>P588-L588</f>
        <v>0</v>
      </c>
      <c r="R588" s="11" t="e">
        <f>Q588/L588</f>
        <v>#DIV/0!</v>
      </c>
    </row>
    <row r="589" spans="2:18" ht="12.75">
      <c r="B589" s="8" t="s">
        <v>462</v>
      </c>
      <c r="C589" s="12">
        <f aca="true" t="shared" si="209" ref="C589:Q589">SUM(C588)</f>
        <v>0</v>
      </c>
      <c r="D589" s="12">
        <f t="shared" si="209"/>
        <v>0</v>
      </c>
      <c r="E589" s="12">
        <f t="shared" si="209"/>
        <v>0</v>
      </c>
      <c r="F589" s="12">
        <f t="shared" si="209"/>
        <v>0</v>
      </c>
      <c r="G589" s="12">
        <f t="shared" si="209"/>
        <v>0</v>
      </c>
      <c r="H589" s="12">
        <f t="shared" si="209"/>
        <v>0</v>
      </c>
      <c r="I589" s="12">
        <f t="shared" si="209"/>
        <v>0</v>
      </c>
      <c r="J589" s="12">
        <f t="shared" si="209"/>
        <v>0</v>
      </c>
      <c r="K589" s="13">
        <f t="shared" si="209"/>
        <v>0</v>
      </c>
      <c r="L589" s="13">
        <f t="shared" si="209"/>
        <v>0</v>
      </c>
      <c r="M589" s="13">
        <f t="shared" si="209"/>
        <v>0</v>
      </c>
      <c r="N589" s="13">
        <f t="shared" si="209"/>
        <v>0</v>
      </c>
      <c r="O589" s="13">
        <f t="shared" si="209"/>
        <v>0</v>
      </c>
      <c r="P589" s="13">
        <f t="shared" si="209"/>
        <v>0</v>
      </c>
      <c r="Q589" s="13">
        <f t="shared" si="209"/>
        <v>0</v>
      </c>
      <c r="R589" s="14" t="e">
        <f>Q589/L589</f>
        <v>#DIV/0!</v>
      </c>
    </row>
    <row r="590" spans="3:18" ht="12.75" hidden="1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15"/>
    </row>
    <row r="591" spans="1:18" s="16" customFormat="1" ht="12.75">
      <c r="A591" s="17"/>
      <c r="B591" s="17" t="s">
        <v>463</v>
      </c>
      <c r="C591" s="18">
        <f aca="true" t="shared" si="210" ref="C591:Q591">SUM(C589+C586+C582+C578+C567)</f>
        <v>127199</v>
      </c>
      <c r="D591" s="18">
        <f t="shared" si="210"/>
        <v>111921</v>
      </c>
      <c r="E591" s="18">
        <f t="shared" si="210"/>
        <v>-1500</v>
      </c>
      <c r="F591" s="18">
        <f t="shared" si="210"/>
        <v>110421</v>
      </c>
      <c r="G591" s="18">
        <f t="shared" si="210"/>
        <v>127117</v>
      </c>
      <c r="H591" s="18">
        <f t="shared" si="210"/>
        <v>111821</v>
      </c>
      <c r="I591" s="18">
        <f t="shared" si="210"/>
        <v>0</v>
      </c>
      <c r="J591" s="18">
        <f t="shared" si="210"/>
        <v>111821</v>
      </c>
      <c r="K591" s="18">
        <f t="shared" si="210"/>
        <v>133066</v>
      </c>
      <c r="L591" s="18">
        <f t="shared" si="210"/>
        <v>121750</v>
      </c>
      <c r="M591" s="18">
        <f>SUM(M589+M586+M582+M578+M567)</f>
        <v>134366</v>
      </c>
      <c r="N591" s="18">
        <f>SUM(N589+N586+N582+N578+N567)</f>
        <v>123550</v>
      </c>
      <c r="O591" s="18">
        <f>SUM(O589+O586+O582+O578+O567)</f>
        <v>0</v>
      </c>
      <c r="P591" s="18">
        <f>SUM(P589+P586+P582+P578+P567)</f>
        <v>123550</v>
      </c>
      <c r="Q591" s="18">
        <f t="shared" si="210"/>
        <v>1800</v>
      </c>
      <c r="R591" s="19">
        <f>Q591/L591</f>
        <v>0.014784394250513347</v>
      </c>
    </row>
    <row r="592" spans="3:17" ht="12.7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9"/>
    </row>
    <row r="593" spans="1:18" ht="12.75">
      <c r="A593" s="8"/>
      <c r="B593" s="8" t="s">
        <v>464</v>
      </c>
      <c r="C593" s="9"/>
      <c r="D593" s="9"/>
      <c r="E593" s="9"/>
      <c r="F593" s="9"/>
      <c r="G593" s="9"/>
      <c r="H593" s="9"/>
      <c r="I593" s="9"/>
      <c r="J593" s="9"/>
      <c r="K593" s="10"/>
      <c r="L593" s="10"/>
      <c r="M593" s="10"/>
      <c r="N593" s="10"/>
      <c r="O593" s="10"/>
      <c r="P593" s="10"/>
      <c r="Q593" s="28"/>
      <c r="R593" s="28"/>
    </row>
    <row r="594" spans="1:18" ht="12.75" hidden="1">
      <c r="A594" t="s">
        <v>465</v>
      </c>
      <c r="B594" t="s">
        <v>466</v>
      </c>
      <c r="C594" s="9">
        <v>14560</v>
      </c>
      <c r="D594" s="9">
        <v>12350</v>
      </c>
      <c r="E594" s="9"/>
      <c r="F594" s="10">
        <f>D594+E594</f>
        <v>12350</v>
      </c>
      <c r="G594" s="10">
        <v>14170</v>
      </c>
      <c r="H594" s="10">
        <v>12350</v>
      </c>
      <c r="I594" s="9"/>
      <c r="J594" s="10">
        <f>H594+I594</f>
        <v>12350</v>
      </c>
      <c r="K594" s="10">
        <v>14160</v>
      </c>
      <c r="L594" s="10">
        <v>14160</v>
      </c>
      <c r="M594" s="10">
        <v>15600</v>
      </c>
      <c r="N594" s="10">
        <v>14160</v>
      </c>
      <c r="O594" s="10"/>
      <c r="P594" s="10">
        <f>N594+O594</f>
        <v>14160</v>
      </c>
      <c r="Q594" s="10">
        <f>P594-L594</f>
        <v>0</v>
      </c>
      <c r="R594" s="11">
        <f>Q594/L594</f>
        <v>0</v>
      </c>
    </row>
    <row r="595" spans="1:18" ht="12.75" hidden="1">
      <c r="A595" t="s">
        <v>467</v>
      </c>
      <c r="B595" t="s">
        <v>136</v>
      </c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>
        <f>H595-F595</f>
        <v>0</v>
      </c>
      <c r="R595" s="11" t="e">
        <f>Q595/#REF!</f>
        <v>#REF!</v>
      </c>
    </row>
    <row r="596" spans="2:19" ht="12.75">
      <c r="B596" s="8" t="s">
        <v>20</v>
      </c>
      <c r="C596" s="12">
        <f aca="true" t="shared" si="211" ref="C596:Q596">SUM(C594:C595)</f>
        <v>14560</v>
      </c>
      <c r="D596" s="12">
        <f t="shared" si="211"/>
        <v>12350</v>
      </c>
      <c r="E596" s="12">
        <f t="shared" si="211"/>
        <v>0</v>
      </c>
      <c r="F596" s="12">
        <f t="shared" si="211"/>
        <v>12350</v>
      </c>
      <c r="G596" s="12">
        <f t="shared" si="211"/>
        <v>14170</v>
      </c>
      <c r="H596" s="12">
        <f t="shared" si="211"/>
        <v>12350</v>
      </c>
      <c r="I596" s="12">
        <f t="shared" si="211"/>
        <v>0</v>
      </c>
      <c r="J596" s="12">
        <f t="shared" si="211"/>
        <v>12350</v>
      </c>
      <c r="K596" s="13">
        <f t="shared" si="211"/>
        <v>14160</v>
      </c>
      <c r="L596" s="13">
        <f t="shared" si="211"/>
        <v>14160</v>
      </c>
      <c r="M596" s="13">
        <f>SUM(M594:M595)</f>
        <v>15600</v>
      </c>
      <c r="N596" s="13">
        <f>SUM(N594:N595)</f>
        <v>14160</v>
      </c>
      <c r="O596" s="13">
        <f>SUM(O594:O595)</f>
        <v>0</v>
      </c>
      <c r="P596" s="13">
        <f>SUM(P594:P595)</f>
        <v>14160</v>
      </c>
      <c r="Q596" s="13">
        <f t="shared" si="211"/>
        <v>0</v>
      </c>
      <c r="R596" s="14">
        <f>Q596/L596</f>
        <v>0</v>
      </c>
      <c r="S596" s="22"/>
    </row>
    <row r="597" spans="3:18" ht="12.75" hidden="1">
      <c r="C597" s="9"/>
      <c r="D597" s="9"/>
      <c r="E597" s="9"/>
      <c r="F597" s="9"/>
      <c r="G597" s="9"/>
      <c r="H597" s="9"/>
      <c r="I597" s="9"/>
      <c r="J597" s="9"/>
      <c r="K597" s="10"/>
      <c r="L597" s="10"/>
      <c r="M597" s="10"/>
      <c r="N597" s="10"/>
      <c r="O597" s="10"/>
      <c r="P597" s="10"/>
      <c r="Q597" s="10"/>
      <c r="R597" s="11"/>
    </row>
    <row r="598" spans="1:18" ht="12.75" hidden="1">
      <c r="A598" t="s">
        <v>468</v>
      </c>
      <c r="B598" t="s">
        <v>52</v>
      </c>
      <c r="C598" s="10">
        <v>250</v>
      </c>
      <c r="D598" s="10">
        <v>1000</v>
      </c>
      <c r="E598" s="10">
        <v>-200</v>
      </c>
      <c r="F598" s="10">
        <f>D598+E598</f>
        <v>800</v>
      </c>
      <c r="G598" s="10">
        <v>200</v>
      </c>
      <c r="H598" s="10">
        <v>200</v>
      </c>
      <c r="I598" s="10"/>
      <c r="J598" s="10">
        <f>H598+I598</f>
        <v>200</v>
      </c>
      <c r="K598" s="10">
        <v>250</v>
      </c>
      <c r="L598" s="10">
        <v>200</v>
      </c>
      <c r="M598" s="10">
        <v>200</v>
      </c>
      <c r="N598" s="10">
        <v>200</v>
      </c>
      <c r="O598" s="10"/>
      <c r="P598" s="10">
        <f>N598+O598</f>
        <v>200</v>
      </c>
      <c r="Q598" s="10">
        <f>P598-L598</f>
        <v>0</v>
      </c>
      <c r="R598" s="11">
        <f>Q598/L598</f>
        <v>0</v>
      </c>
    </row>
    <row r="599" spans="2:18" ht="12.75">
      <c r="B599" s="8" t="s">
        <v>53</v>
      </c>
      <c r="C599" s="12">
        <f aca="true" t="shared" si="212" ref="C599:Q599">SUM(C598)</f>
        <v>250</v>
      </c>
      <c r="D599" s="12">
        <f t="shared" si="212"/>
        <v>1000</v>
      </c>
      <c r="E599" s="12">
        <f t="shared" si="212"/>
        <v>-200</v>
      </c>
      <c r="F599" s="12">
        <f t="shared" si="212"/>
        <v>800</v>
      </c>
      <c r="G599" s="12">
        <f t="shared" si="212"/>
        <v>200</v>
      </c>
      <c r="H599" s="12">
        <f t="shared" si="212"/>
        <v>200</v>
      </c>
      <c r="I599" s="12">
        <f t="shared" si="212"/>
        <v>0</v>
      </c>
      <c r="J599" s="12">
        <f t="shared" si="212"/>
        <v>200</v>
      </c>
      <c r="K599" s="13">
        <f t="shared" si="212"/>
        <v>250</v>
      </c>
      <c r="L599" s="13">
        <f t="shared" si="212"/>
        <v>200</v>
      </c>
      <c r="M599" s="13">
        <f>SUM(M598)</f>
        <v>200</v>
      </c>
      <c r="N599" s="13">
        <f>SUM(N598)</f>
        <v>200</v>
      </c>
      <c r="O599" s="13">
        <f>SUM(O598)</f>
        <v>0</v>
      </c>
      <c r="P599" s="13">
        <f>SUM(P598)</f>
        <v>200</v>
      </c>
      <c r="Q599" s="13">
        <f t="shared" si="212"/>
        <v>0</v>
      </c>
      <c r="R599" s="14">
        <f>Q599/L599</f>
        <v>0</v>
      </c>
    </row>
    <row r="600" spans="3:18" ht="12.75" hidden="1">
      <c r="C600" s="9"/>
      <c r="D600" s="9"/>
      <c r="E600" s="9"/>
      <c r="F600" s="9"/>
      <c r="G600" s="9"/>
      <c r="H600" s="9"/>
      <c r="I600" s="9"/>
      <c r="J600" s="9"/>
      <c r="K600" s="10"/>
      <c r="L600" s="10"/>
      <c r="M600" s="10"/>
      <c r="N600" s="10"/>
      <c r="O600" s="10"/>
      <c r="P600" s="10"/>
      <c r="Q600" s="10"/>
      <c r="R600" s="11"/>
    </row>
    <row r="601" spans="2:18" ht="12.75" hidden="1">
      <c r="B601" t="s">
        <v>469</v>
      </c>
      <c r="C601" s="9">
        <v>700</v>
      </c>
      <c r="D601" s="9">
        <v>1000</v>
      </c>
      <c r="E601" s="9"/>
      <c r="F601" s="10">
        <f>D601+E601</f>
        <v>1000</v>
      </c>
      <c r="G601" s="10">
        <v>1000</v>
      </c>
      <c r="H601" s="10">
        <v>1000</v>
      </c>
      <c r="I601" s="9"/>
      <c r="J601" s="10">
        <f>H601+I601</f>
        <v>1000</v>
      </c>
      <c r="K601" s="10">
        <v>1000</v>
      </c>
      <c r="L601" s="10">
        <v>1000</v>
      </c>
      <c r="M601" s="10">
        <v>1000</v>
      </c>
      <c r="N601" s="10">
        <v>1000</v>
      </c>
      <c r="O601" s="10"/>
      <c r="P601" s="10">
        <f>N601+O601</f>
        <v>1000</v>
      </c>
      <c r="Q601" s="10">
        <f>P601-L601</f>
        <v>0</v>
      </c>
      <c r="R601" s="11">
        <f>Q601/L601</f>
        <v>0</v>
      </c>
    </row>
    <row r="602" spans="1:18" ht="12.75" hidden="1">
      <c r="A602" t="s">
        <v>470</v>
      </c>
      <c r="B602" t="s">
        <v>471</v>
      </c>
      <c r="C602" s="10">
        <v>200000</v>
      </c>
      <c r="D602" s="10">
        <v>200000</v>
      </c>
      <c r="E602" s="10"/>
      <c r="F602" s="10">
        <f>D602+E602</f>
        <v>200000</v>
      </c>
      <c r="G602" s="10">
        <v>200000</v>
      </c>
      <c r="H602" s="10">
        <v>190000</v>
      </c>
      <c r="I602" s="10"/>
      <c r="J602" s="10">
        <f>H602+I602</f>
        <v>190000</v>
      </c>
      <c r="K602" s="10">
        <v>225000</v>
      </c>
      <c r="L602" s="10">
        <v>220000</v>
      </c>
      <c r="M602" s="10">
        <v>245000</v>
      </c>
      <c r="N602" s="10">
        <v>220000</v>
      </c>
      <c r="O602" s="10"/>
      <c r="P602" s="10">
        <f>N602+O602</f>
        <v>220000</v>
      </c>
      <c r="Q602" s="10">
        <f>P602-L602</f>
        <v>0</v>
      </c>
      <c r="R602" s="11">
        <f>Q602/L602</f>
        <v>0</v>
      </c>
    </row>
    <row r="603" spans="2:18" ht="12.75">
      <c r="B603" s="8" t="s">
        <v>27</v>
      </c>
      <c r="C603" s="12">
        <f aca="true" t="shared" si="213" ref="C603:Q603">SUM(C601:C602)</f>
        <v>200700</v>
      </c>
      <c r="D603" s="12">
        <f t="shared" si="213"/>
        <v>201000</v>
      </c>
      <c r="E603" s="12">
        <f t="shared" si="213"/>
        <v>0</v>
      </c>
      <c r="F603" s="12">
        <f t="shared" si="213"/>
        <v>201000</v>
      </c>
      <c r="G603" s="12">
        <f t="shared" si="213"/>
        <v>201000</v>
      </c>
      <c r="H603" s="12">
        <f t="shared" si="213"/>
        <v>191000</v>
      </c>
      <c r="I603" s="12">
        <f t="shared" si="213"/>
        <v>0</v>
      </c>
      <c r="J603" s="12">
        <f t="shared" si="213"/>
        <v>191000</v>
      </c>
      <c r="K603" s="13">
        <f t="shared" si="213"/>
        <v>226000</v>
      </c>
      <c r="L603" s="13">
        <f t="shared" si="213"/>
        <v>221000</v>
      </c>
      <c r="M603" s="13">
        <f>SUM(M601:M602)</f>
        <v>246000</v>
      </c>
      <c r="N603" s="13">
        <f>SUM(N601:N602)</f>
        <v>221000</v>
      </c>
      <c r="O603" s="13">
        <f>SUM(O601:O602)</f>
        <v>0</v>
      </c>
      <c r="P603" s="13">
        <f>SUM(P601:P602)</f>
        <v>221000</v>
      </c>
      <c r="Q603" s="13">
        <f t="shared" si="213"/>
        <v>0</v>
      </c>
      <c r="R603" s="14">
        <f>Q603/L603</f>
        <v>0</v>
      </c>
    </row>
    <row r="604" spans="3:18" ht="12.75" hidden="1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15"/>
    </row>
    <row r="605" spans="1:18" s="16" customFormat="1" ht="12.75">
      <c r="A605" s="17"/>
      <c r="B605" s="17" t="s">
        <v>472</v>
      </c>
      <c r="C605" s="18">
        <f aca="true" t="shared" si="214" ref="C605:Q605">SUM(C603+C599+C596)</f>
        <v>215510</v>
      </c>
      <c r="D605" s="18">
        <f t="shared" si="214"/>
        <v>214350</v>
      </c>
      <c r="E605" s="18">
        <f t="shared" si="214"/>
        <v>-200</v>
      </c>
      <c r="F605" s="18">
        <f t="shared" si="214"/>
        <v>214150</v>
      </c>
      <c r="G605" s="18">
        <f t="shared" si="214"/>
        <v>215370</v>
      </c>
      <c r="H605" s="18">
        <f t="shared" si="214"/>
        <v>203550</v>
      </c>
      <c r="I605" s="18">
        <f t="shared" si="214"/>
        <v>0</v>
      </c>
      <c r="J605" s="18">
        <f t="shared" si="214"/>
        <v>203550</v>
      </c>
      <c r="K605" s="18">
        <f t="shared" si="214"/>
        <v>240410</v>
      </c>
      <c r="L605" s="18">
        <f t="shared" si="214"/>
        <v>235360</v>
      </c>
      <c r="M605" s="18">
        <f>SUM(M603+M599+M596)</f>
        <v>261800</v>
      </c>
      <c r="N605" s="18">
        <f>SUM(N603+N599+N596)</f>
        <v>235360</v>
      </c>
      <c r="O605" s="18">
        <f>SUM(O603+O599+O596)</f>
        <v>0</v>
      </c>
      <c r="P605" s="18">
        <f>SUM(P603+P599+P596)</f>
        <v>235360</v>
      </c>
      <c r="Q605" s="18">
        <f t="shared" si="214"/>
        <v>0</v>
      </c>
      <c r="R605" s="19">
        <f>Q605/L605</f>
        <v>0</v>
      </c>
    </row>
    <row r="606" spans="3:17" ht="12.7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9"/>
    </row>
    <row r="607" spans="1:18" ht="12.75">
      <c r="A607" s="8"/>
      <c r="B607" s="8" t="s">
        <v>473</v>
      </c>
      <c r="C607" s="9"/>
      <c r="D607" s="9"/>
      <c r="E607" s="9"/>
      <c r="F607" s="9"/>
      <c r="G607" s="9"/>
      <c r="H607" s="9"/>
      <c r="I607" s="9"/>
      <c r="J607" s="9"/>
      <c r="K607" s="10"/>
      <c r="L607" s="10"/>
      <c r="M607" s="10"/>
      <c r="N607" s="10"/>
      <c r="O607" s="10"/>
      <c r="P607" s="10"/>
      <c r="Q607" s="28"/>
      <c r="R607" s="28"/>
    </row>
    <row r="608" spans="1:21" ht="12.75" hidden="1">
      <c r="A608" t="s">
        <v>474</v>
      </c>
      <c r="B608" t="s">
        <v>475</v>
      </c>
      <c r="C608" s="9">
        <v>39237</v>
      </c>
      <c r="D608" s="9">
        <v>39237</v>
      </c>
      <c r="E608" s="9"/>
      <c r="F608" s="10">
        <f aca="true" t="shared" si="215" ref="F608:F615">D608+E608</f>
        <v>39237</v>
      </c>
      <c r="G608" s="40">
        <v>39237</v>
      </c>
      <c r="H608" s="40">
        <v>39237</v>
      </c>
      <c r="I608" s="9"/>
      <c r="J608" s="10">
        <f aca="true" t="shared" si="216" ref="J608:J615">H608+I608</f>
        <v>39237</v>
      </c>
      <c r="K608" s="40">
        <v>41626</v>
      </c>
      <c r="L608" s="40">
        <v>41626</v>
      </c>
      <c r="M608" s="40">
        <v>41626</v>
      </c>
      <c r="N608" s="40">
        <v>41626</v>
      </c>
      <c r="O608" s="40"/>
      <c r="P608" s="10">
        <f aca="true" t="shared" si="217" ref="P608:P615">N608+O608</f>
        <v>41626</v>
      </c>
      <c r="Q608" s="10">
        <f aca="true" t="shared" si="218" ref="Q608:Q615">P608-L608</f>
        <v>0</v>
      </c>
      <c r="R608" s="11">
        <f aca="true" t="shared" si="219" ref="R608:R615">Q608/L608</f>
        <v>0</v>
      </c>
      <c r="S608">
        <v>2.55</v>
      </c>
      <c r="T608">
        <v>2.55</v>
      </c>
      <c r="U608">
        <v>2.6</v>
      </c>
    </row>
    <row r="609" spans="1:18" ht="12.75" hidden="1">
      <c r="A609" t="s">
        <v>476</v>
      </c>
      <c r="B609" t="s">
        <v>477</v>
      </c>
      <c r="C609" s="9">
        <v>31637</v>
      </c>
      <c r="D609" s="9">
        <v>31637</v>
      </c>
      <c r="E609" s="9"/>
      <c r="F609" s="10">
        <f t="shared" si="215"/>
        <v>31637</v>
      </c>
      <c r="G609" s="40">
        <v>31636</v>
      </c>
      <c r="H609" s="40">
        <v>31636</v>
      </c>
      <c r="I609" s="9"/>
      <c r="J609" s="10">
        <f t="shared" si="216"/>
        <v>31636</v>
      </c>
      <c r="K609" s="40">
        <v>33563</v>
      </c>
      <c r="L609" s="40">
        <v>33563</v>
      </c>
      <c r="M609" s="40">
        <v>33563</v>
      </c>
      <c r="N609" s="40">
        <v>33563</v>
      </c>
      <c r="O609" s="40"/>
      <c r="P609" s="10">
        <f t="shared" si="217"/>
        <v>33563</v>
      </c>
      <c r="Q609" s="10">
        <f t="shared" si="218"/>
        <v>0</v>
      </c>
      <c r="R609" s="11">
        <f t="shared" si="219"/>
        <v>0</v>
      </c>
    </row>
    <row r="610" spans="1:18" ht="12.75" hidden="1">
      <c r="A610" t="s">
        <v>478</v>
      </c>
      <c r="B610" t="s">
        <v>479</v>
      </c>
      <c r="C610" s="9">
        <v>27679</v>
      </c>
      <c r="D610" s="9">
        <v>27679</v>
      </c>
      <c r="E610" s="9"/>
      <c r="F610" s="10">
        <f t="shared" si="215"/>
        <v>27679</v>
      </c>
      <c r="G610" s="40">
        <v>27674</v>
      </c>
      <c r="H610" s="40">
        <v>27674</v>
      </c>
      <c r="I610" s="9"/>
      <c r="J610" s="10">
        <f t="shared" si="216"/>
        <v>27674</v>
      </c>
      <c r="K610" s="40">
        <v>29359</v>
      </c>
      <c r="L610" s="40">
        <v>29359</v>
      </c>
      <c r="M610" s="40">
        <v>29359</v>
      </c>
      <c r="N610" s="40">
        <v>29359</v>
      </c>
      <c r="O610" s="40"/>
      <c r="P610" s="10">
        <f t="shared" si="217"/>
        <v>29359</v>
      </c>
      <c r="Q610" s="10">
        <f t="shared" si="218"/>
        <v>0</v>
      </c>
      <c r="R610" s="11">
        <f t="shared" si="219"/>
        <v>0</v>
      </c>
    </row>
    <row r="611" spans="1:18" ht="12.75" hidden="1">
      <c r="A611" t="s">
        <v>480</v>
      </c>
      <c r="B611" t="s">
        <v>481</v>
      </c>
      <c r="C611" s="9">
        <v>10140</v>
      </c>
      <c r="D611" s="9">
        <v>10140</v>
      </c>
      <c r="E611" s="9"/>
      <c r="F611" s="10">
        <f t="shared" si="215"/>
        <v>10140</v>
      </c>
      <c r="G611" s="40">
        <v>10140</v>
      </c>
      <c r="H611" s="40">
        <v>10140</v>
      </c>
      <c r="I611" s="9"/>
      <c r="J611" s="10">
        <f t="shared" si="216"/>
        <v>10140</v>
      </c>
      <c r="K611" s="40">
        <v>11700</v>
      </c>
      <c r="L611" s="40">
        <v>11700</v>
      </c>
      <c r="M611" s="40">
        <v>12480</v>
      </c>
      <c r="N611" s="40">
        <v>12480</v>
      </c>
      <c r="O611" s="40"/>
      <c r="P611" s="10">
        <f t="shared" si="217"/>
        <v>12480</v>
      </c>
      <c r="Q611" s="10">
        <f t="shared" si="218"/>
        <v>780</v>
      </c>
      <c r="R611" s="11">
        <f t="shared" si="219"/>
        <v>0.06666666666666667</v>
      </c>
    </row>
    <row r="612" spans="2:18" ht="12.75" hidden="1">
      <c r="B612" t="s">
        <v>197</v>
      </c>
      <c r="C612" s="9">
        <v>2920</v>
      </c>
      <c r="D612" s="9">
        <v>2920</v>
      </c>
      <c r="E612" s="9"/>
      <c r="F612" s="10">
        <f t="shared" si="215"/>
        <v>2920</v>
      </c>
      <c r="G612" s="40">
        <v>2920</v>
      </c>
      <c r="H612" s="40">
        <v>2920</v>
      </c>
      <c r="I612" s="9"/>
      <c r="J612" s="10">
        <f t="shared" si="216"/>
        <v>2920</v>
      </c>
      <c r="K612" s="40">
        <v>2920</v>
      </c>
      <c r="L612" s="40">
        <v>2920</v>
      </c>
      <c r="M612" s="40">
        <v>2920</v>
      </c>
      <c r="N612" s="40">
        <v>2920</v>
      </c>
      <c r="O612" s="40"/>
      <c r="P612" s="10">
        <f t="shared" si="217"/>
        <v>2920</v>
      </c>
      <c r="Q612" s="10">
        <f t="shared" si="218"/>
        <v>0</v>
      </c>
      <c r="R612" s="11">
        <f t="shared" si="219"/>
        <v>0</v>
      </c>
    </row>
    <row r="613" spans="2:18" ht="12.75" hidden="1">
      <c r="B613" t="s">
        <v>76</v>
      </c>
      <c r="C613" s="9">
        <v>2500</v>
      </c>
      <c r="D613" s="9">
        <v>2500</v>
      </c>
      <c r="E613" s="9"/>
      <c r="F613" s="10">
        <f t="shared" si="215"/>
        <v>2500</v>
      </c>
      <c r="G613" s="40">
        <v>2500</v>
      </c>
      <c r="H613" s="40">
        <v>2500</v>
      </c>
      <c r="I613" s="9"/>
      <c r="J613" s="10">
        <f t="shared" si="216"/>
        <v>2500</v>
      </c>
      <c r="K613" s="40">
        <v>2500</v>
      </c>
      <c r="L613" s="40">
        <v>2500</v>
      </c>
      <c r="M613" s="40">
        <v>2500</v>
      </c>
      <c r="N613" s="40">
        <v>2500</v>
      </c>
      <c r="O613" s="40"/>
      <c r="P613" s="10">
        <f t="shared" si="217"/>
        <v>2500</v>
      </c>
      <c r="Q613" s="10">
        <f t="shared" si="218"/>
        <v>0</v>
      </c>
      <c r="R613" s="11">
        <f t="shared" si="219"/>
        <v>0</v>
      </c>
    </row>
    <row r="614" spans="2:18" ht="12.75" hidden="1">
      <c r="B614" t="s">
        <v>39</v>
      </c>
      <c r="C614" s="9">
        <v>2600</v>
      </c>
      <c r="D614" s="9">
        <v>2600</v>
      </c>
      <c r="E614" s="9"/>
      <c r="F614" s="10">
        <f t="shared" si="215"/>
        <v>2600</v>
      </c>
      <c r="G614" s="40">
        <v>3700</v>
      </c>
      <c r="H614" s="40">
        <v>3700</v>
      </c>
      <c r="I614" s="9"/>
      <c r="J614" s="10">
        <f t="shared" si="216"/>
        <v>3700</v>
      </c>
      <c r="K614" s="40">
        <v>4300</v>
      </c>
      <c r="L614" s="40">
        <v>4300</v>
      </c>
      <c r="M614" s="40">
        <v>4300</v>
      </c>
      <c r="N614" s="40">
        <v>4300</v>
      </c>
      <c r="O614" s="40"/>
      <c r="P614" s="10">
        <f t="shared" si="217"/>
        <v>4300</v>
      </c>
      <c r="Q614" s="10">
        <f t="shared" si="218"/>
        <v>0</v>
      </c>
      <c r="R614" s="11">
        <f t="shared" si="219"/>
        <v>0</v>
      </c>
    </row>
    <row r="615" spans="2:18" ht="12.75" hidden="1">
      <c r="B615" t="s">
        <v>77</v>
      </c>
      <c r="C615" s="9">
        <v>1000</v>
      </c>
      <c r="D615" s="9">
        <v>1000</v>
      </c>
      <c r="E615" s="9"/>
      <c r="F615" s="10">
        <f t="shared" si="215"/>
        <v>1000</v>
      </c>
      <c r="G615" s="40">
        <v>1000</v>
      </c>
      <c r="H615" s="40">
        <v>1000</v>
      </c>
      <c r="I615" s="9"/>
      <c r="J615" s="10">
        <f t="shared" si="216"/>
        <v>1000</v>
      </c>
      <c r="K615" s="40">
        <v>1000</v>
      </c>
      <c r="L615" s="40">
        <v>1000</v>
      </c>
      <c r="M615" s="40">
        <v>1000</v>
      </c>
      <c r="N615" s="40">
        <v>1000</v>
      </c>
      <c r="O615" s="40"/>
      <c r="P615" s="10">
        <f t="shared" si="217"/>
        <v>1000</v>
      </c>
      <c r="Q615" s="10">
        <f t="shared" si="218"/>
        <v>0</v>
      </c>
      <c r="R615" s="11">
        <f t="shared" si="219"/>
        <v>0</v>
      </c>
    </row>
    <row r="616" spans="2:18" ht="12.75">
      <c r="B616" s="8" t="s">
        <v>20</v>
      </c>
      <c r="C616" s="12">
        <f aca="true" t="shared" si="220" ref="C616:Q616">SUM(C608:C615)</f>
        <v>117713</v>
      </c>
      <c r="D616" s="12">
        <f t="shared" si="220"/>
        <v>117713</v>
      </c>
      <c r="E616" s="12">
        <f t="shared" si="220"/>
        <v>0</v>
      </c>
      <c r="F616" s="12">
        <f t="shared" si="220"/>
        <v>117713</v>
      </c>
      <c r="G616" s="12">
        <f t="shared" si="220"/>
        <v>118807</v>
      </c>
      <c r="H616" s="12">
        <f t="shared" si="220"/>
        <v>118807</v>
      </c>
      <c r="I616" s="12">
        <f t="shared" si="220"/>
        <v>0</v>
      </c>
      <c r="J616" s="12">
        <f t="shared" si="220"/>
        <v>118807</v>
      </c>
      <c r="K616" s="13">
        <f t="shared" si="220"/>
        <v>126968</v>
      </c>
      <c r="L616" s="13">
        <f t="shared" si="220"/>
        <v>126968</v>
      </c>
      <c r="M616" s="13">
        <f t="shared" si="220"/>
        <v>127748</v>
      </c>
      <c r="N616" s="13">
        <f t="shared" si="220"/>
        <v>127748</v>
      </c>
      <c r="O616" s="13">
        <f t="shared" si="220"/>
        <v>0</v>
      </c>
      <c r="P616" s="13">
        <f t="shared" si="220"/>
        <v>127748</v>
      </c>
      <c r="Q616" s="13">
        <f t="shared" si="220"/>
        <v>780</v>
      </c>
      <c r="R616" s="14">
        <f>Q616/L616</f>
        <v>0.006143280196584966</v>
      </c>
    </row>
    <row r="617" spans="3:18" ht="12.75" hidden="1">
      <c r="C617" s="9"/>
      <c r="D617" s="9"/>
      <c r="E617" s="9"/>
      <c r="F617" s="9"/>
      <c r="G617" s="9"/>
      <c r="H617" s="9"/>
      <c r="I617" s="9"/>
      <c r="J617" s="9"/>
      <c r="K617" s="10"/>
      <c r="L617" s="10"/>
      <c r="M617" s="10"/>
      <c r="N617" s="10"/>
      <c r="O617" s="10"/>
      <c r="P617" s="10"/>
      <c r="Q617" s="10"/>
      <c r="R617" s="11"/>
    </row>
    <row r="618" spans="2:18" ht="12.75" hidden="1">
      <c r="B618" t="s">
        <v>278</v>
      </c>
      <c r="C618" s="9">
        <v>5000</v>
      </c>
      <c r="D618" s="9">
        <v>5000</v>
      </c>
      <c r="E618" s="9">
        <v>-1000</v>
      </c>
      <c r="F618" s="10">
        <f aca="true" t="shared" si="221" ref="F618:F623">D618+E618</f>
        <v>4000</v>
      </c>
      <c r="G618" s="10">
        <v>5000</v>
      </c>
      <c r="H618" s="10">
        <v>4000</v>
      </c>
      <c r="I618" s="9"/>
      <c r="J618" s="10">
        <f aca="true" t="shared" si="222" ref="J618:J623">H618+I618</f>
        <v>4000</v>
      </c>
      <c r="K618" s="10">
        <v>4000</v>
      </c>
      <c r="L618" s="10">
        <v>4000</v>
      </c>
      <c r="M618" s="10">
        <v>4000</v>
      </c>
      <c r="N618" s="10">
        <v>4000</v>
      </c>
      <c r="O618" s="10"/>
      <c r="P618" s="10">
        <f aca="true" t="shared" si="223" ref="P618:P623">N618+O618</f>
        <v>4000</v>
      </c>
      <c r="Q618" s="10">
        <f aca="true" t="shared" si="224" ref="Q618:Q623">P618-L618</f>
        <v>0</v>
      </c>
      <c r="R618" s="11">
        <f aca="true" t="shared" si="225" ref="R618:R623">Q618/L618</f>
        <v>0</v>
      </c>
    </row>
    <row r="619" spans="2:18" ht="12.75" hidden="1">
      <c r="B619" t="s">
        <v>279</v>
      </c>
      <c r="C619" s="9">
        <v>1000</v>
      </c>
      <c r="D619" s="9">
        <v>1000</v>
      </c>
      <c r="E619" s="9"/>
      <c r="F619" s="10">
        <f t="shared" si="221"/>
        <v>1000</v>
      </c>
      <c r="G619" s="10">
        <v>1500</v>
      </c>
      <c r="H619" s="10">
        <v>1000</v>
      </c>
      <c r="I619" s="9"/>
      <c r="J619" s="10">
        <f t="shared" si="222"/>
        <v>1000</v>
      </c>
      <c r="K619" s="10">
        <v>1000</v>
      </c>
      <c r="L619" s="10">
        <v>1000</v>
      </c>
      <c r="M619" s="10">
        <v>1000</v>
      </c>
      <c r="N619" s="10">
        <v>1000</v>
      </c>
      <c r="O619" s="10"/>
      <c r="P619" s="10">
        <f t="shared" si="223"/>
        <v>1000</v>
      </c>
      <c r="Q619" s="10">
        <f t="shared" si="224"/>
        <v>0</v>
      </c>
      <c r="R619" s="11">
        <f t="shared" si="225"/>
        <v>0</v>
      </c>
    </row>
    <row r="620" spans="1:18" ht="12.75" hidden="1">
      <c r="A620" t="s">
        <v>482</v>
      </c>
      <c r="B620" t="s">
        <v>58</v>
      </c>
      <c r="C620" s="9">
        <v>4000</v>
      </c>
      <c r="D620" s="9">
        <v>4000</v>
      </c>
      <c r="E620" s="9">
        <v>-1000</v>
      </c>
      <c r="F620" s="10">
        <f t="shared" si="221"/>
        <v>3000</v>
      </c>
      <c r="G620" s="10">
        <v>4000</v>
      </c>
      <c r="H620" s="10">
        <v>3000</v>
      </c>
      <c r="I620" s="9"/>
      <c r="J620" s="10">
        <f t="shared" si="222"/>
        <v>3000</v>
      </c>
      <c r="K620" s="10">
        <v>4000</v>
      </c>
      <c r="L620" s="10">
        <v>4000</v>
      </c>
      <c r="M620" s="10">
        <v>4000</v>
      </c>
      <c r="N620" s="10">
        <v>4000</v>
      </c>
      <c r="O620" s="10"/>
      <c r="P620" s="10">
        <f t="shared" si="223"/>
        <v>4000</v>
      </c>
      <c r="Q620" s="10">
        <f t="shared" si="224"/>
        <v>0</v>
      </c>
      <c r="R620" s="11">
        <f t="shared" si="225"/>
        <v>0</v>
      </c>
    </row>
    <row r="621" spans="1:18" ht="12.75" hidden="1">
      <c r="A621" t="s">
        <v>483</v>
      </c>
      <c r="B621" t="s">
        <v>231</v>
      </c>
      <c r="C621" s="9">
        <v>15022</v>
      </c>
      <c r="D621" s="9">
        <v>15022</v>
      </c>
      <c r="E621" s="9"/>
      <c r="F621" s="10">
        <f t="shared" si="221"/>
        <v>15022</v>
      </c>
      <c r="G621" s="10">
        <v>15000</v>
      </c>
      <c r="H621" s="10">
        <v>15000</v>
      </c>
      <c r="I621" s="9"/>
      <c r="J621" s="10">
        <f t="shared" si="222"/>
        <v>15000</v>
      </c>
      <c r="K621" s="10">
        <v>16000</v>
      </c>
      <c r="L621" s="10">
        <v>16000</v>
      </c>
      <c r="M621" s="10">
        <v>16000</v>
      </c>
      <c r="N621" s="10">
        <v>16000</v>
      </c>
      <c r="O621" s="10"/>
      <c r="P621" s="10">
        <f t="shared" si="223"/>
        <v>16000</v>
      </c>
      <c r="Q621" s="10">
        <f t="shared" si="224"/>
        <v>0</v>
      </c>
      <c r="R621" s="11">
        <f t="shared" si="225"/>
        <v>0</v>
      </c>
    </row>
    <row r="622" spans="1:18" ht="12.75" hidden="1">
      <c r="A622" t="s">
        <v>484</v>
      </c>
      <c r="B622" t="s">
        <v>485</v>
      </c>
      <c r="C622" s="10">
        <v>35000</v>
      </c>
      <c r="D622" s="10">
        <v>35000</v>
      </c>
      <c r="E622" s="10"/>
      <c r="F622" s="10">
        <f t="shared" si="221"/>
        <v>35000</v>
      </c>
      <c r="G622" s="10">
        <v>35000</v>
      </c>
      <c r="H622" s="10">
        <v>35000</v>
      </c>
      <c r="I622" s="10"/>
      <c r="J622" s="10">
        <f t="shared" si="222"/>
        <v>35000</v>
      </c>
      <c r="K622" s="10">
        <v>36500</v>
      </c>
      <c r="L622" s="10">
        <v>36500</v>
      </c>
      <c r="M622" s="10">
        <v>37000</v>
      </c>
      <c r="N622" s="10">
        <v>37000</v>
      </c>
      <c r="O622" s="10"/>
      <c r="P622" s="10">
        <f t="shared" si="223"/>
        <v>37000</v>
      </c>
      <c r="Q622" s="10">
        <f t="shared" si="224"/>
        <v>500</v>
      </c>
      <c r="R622" s="11">
        <f t="shared" si="225"/>
        <v>0.0136986301369863</v>
      </c>
    </row>
    <row r="623" spans="2:18" ht="12.75" hidden="1">
      <c r="B623" t="s">
        <v>50</v>
      </c>
      <c r="C623" s="9">
        <v>1200</v>
      </c>
      <c r="D623" s="9">
        <v>900</v>
      </c>
      <c r="E623" s="9"/>
      <c r="F623" s="10">
        <f t="shared" si="221"/>
        <v>900</v>
      </c>
      <c r="G623" s="10">
        <v>1200</v>
      </c>
      <c r="H623" s="10">
        <v>1200</v>
      </c>
      <c r="I623" s="9"/>
      <c r="J623" s="10">
        <f t="shared" si="222"/>
        <v>1200</v>
      </c>
      <c r="K623" s="10">
        <v>1200</v>
      </c>
      <c r="L623" s="10">
        <v>1200</v>
      </c>
      <c r="M623" s="10">
        <v>1200</v>
      </c>
      <c r="N623" s="10">
        <v>1200</v>
      </c>
      <c r="O623" s="10"/>
      <c r="P623" s="10">
        <f t="shared" si="223"/>
        <v>1200</v>
      </c>
      <c r="Q623" s="10">
        <f t="shared" si="224"/>
        <v>0</v>
      </c>
      <c r="R623" s="11">
        <f t="shared" si="225"/>
        <v>0</v>
      </c>
    </row>
    <row r="624" spans="2:18" ht="12.75">
      <c r="B624" s="8" t="s">
        <v>486</v>
      </c>
      <c r="C624" s="12">
        <f aca="true" t="shared" si="226" ref="C624:Q624">SUM(C618:C623)</f>
        <v>61222</v>
      </c>
      <c r="D624" s="12">
        <f t="shared" si="226"/>
        <v>60922</v>
      </c>
      <c r="E624" s="12">
        <f t="shared" si="226"/>
        <v>-2000</v>
      </c>
      <c r="F624" s="12">
        <f t="shared" si="226"/>
        <v>58922</v>
      </c>
      <c r="G624" s="12">
        <f t="shared" si="226"/>
        <v>61700</v>
      </c>
      <c r="H624" s="12">
        <f t="shared" si="226"/>
        <v>59200</v>
      </c>
      <c r="I624" s="12">
        <f t="shared" si="226"/>
        <v>0</v>
      </c>
      <c r="J624" s="12">
        <f t="shared" si="226"/>
        <v>59200</v>
      </c>
      <c r="K624" s="13">
        <f t="shared" si="226"/>
        <v>62700</v>
      </c>
      <c r="L624" s="13">
        <f>SUM(L618:L623)</f>
        <v>62700</v>
      </c>
      <c r="M624" s="13">
        <f>SUM(M618:M623)</f>
        <v>63200</v>
      </c>
      <c r="N624" s="13">
        <f>SUM(N618:N623)</f>
        <v>63200</v>
      </c>
      <c r="O624" s="13">
        <f>SUM(O618:O623)</f>
        <v>0</v>
      </c>
      <c r="P624" s="13">
        <f>SUM(P618:P623)</f>
        <v>63200</v>
      </c>
      <c r="Q624" s="13">
        <f t="shared" si="226"/>
        <v>500</v>
      </c>
      <c r="R624" s="14">
        <f>Q624/L624</f>
        <v>0.007974481658692184</v>
      </c>
    </row>
    <row r="625" spans="3:18" ht="12.75" hidden="1">
      <c r="C625" s="9"/>
      <c r="D625" s="9"/>
      <c r="E625" s="9"/>
      <c r="F625" s="9"/>
      <c r="G625" s="9"/>
      <c r="H625" s="9"/>
      <c r="I625" s="9"/>
      <c r="J625" s="9"/>
      <c r="K625" s="10"/>
      <c r="L625" s="10"/>
      <c r="M625" s="10"/>
      <c r="N625" s="10"/>
      <c r="O625" s="10"/>
      <c r="P625" s="10"/>
      <c r="Q625" s="10"/>
      <c r="R625" s="11"/>
    </row>
    <row r="626" spans="1:18" ht="12.75" hidden="1">
      <c r="A626" t="s">
        <v>487</v>
      </c>
      <c r="B626" t="s">
        <v>52</v>
      </c>
      <c r="C626" s="24">
        <v>2000</v>
      </c>
      <c r="D626" s="10">
        <v>1500</v>
      </c>
      <c r="E626" s="10"/>
      <c r="F626" s="10">
        <f>D626+E626</f>
        <v>1500</v>
      </c>
      <c r="G626" s="10">
        <v>2000</v>
      </c>
      <c r="H626" s="10">
        <v>1500</v>
      </c>
      <c r="I626" s="10"/>
      <c r="J626" s="10">
        <f>H626+I626</f>
        <v>1500</v>
      </c>
      <c r="K626" s="10">
        <v>2000</v>
      </c>
      <c r="L626" s="10">
        <v>2000</v>
      </c>
      <c r="M626" s="10">
        <v>2500</v>
      </c>
      <c r="N626" s="10">
        <v>2500</v>
      </c>
      <c r="O626" s="10"/>
      <c r="P626" s="10">
        <f>N626+O626</f>
        <v>2500</v>
      </c>
      <c r="Q626" s="10">
        <f>P626-L626</f>
        <v>500</v>
      </c>
      <c r="R626" s="11">
        <f>Q626/L626</f>
        <v>0.25</v>
      </c>
    </row>
    <row r="627" spans="2:18" ht="12.75">
      <c r="B627" s="8" t="s">
        <v>53</v>
      </c>
      <c r="C627" s="25">
        <f aca="true" t="shared" si="227" ref="C627:Q627">SUM(C626)</f>
        <v>2000</v>
      </c>
      <c r="D627" s="12">
        <f t="shared" si="227"/>
        <v>1500</v>
      </c>
      <c r="E627" s="12">
        <f t="shared" si="227"/>
        <v>0</v>
      </c>
      <c r="F627" s="12">
        <f t="shared" si="227"/>
        <v>1500</v>
      </c>
      <c r="G627" s="12">
        <f t="shared" si="227"/>
        <v>2000</v>
      </c>
      <c r="H627" s="12">
        <f t="shared" si="227"/>
        <v>1500</v>
      </c>
      <c r="I627" s="12">
        <f t="shared" si="227"/>
        <v>0</v>
      </c>
      <c r="J627" s="12">
        <f t="shared" si="227"/>
        <v>1500</v>
      </c>
      <c r="K627" s="13">
        <f t="shared" si="227"/>
        <v>2000</v>
      </c>
      <c r="L627" s="13">
        <f t="shared" si="227"/>
        <v>2000</v>
      </c>
      <c r="M627" s="13">
        <f t="shared" si="227"/>
        <v>2500</v>
      </c>
      <c r="N627" s="13">
        <f t="shared" si="227"/>
        <v>2500</v>
      </c>
      <c r="O627" s="13">
        <f t="shared" si="227"/>
        <v>0</v>
      </c>
      <c r="P627" s="13">
        <f t="shared" si="227"/>
        <v>2500</v>
      </c>
      <c r="Q627" s="13">
        <f t="shared" si="227"/>
        <v>500</v>
      </c>
      <c r="R627" s="14">
        <f>Q627/L627</f>
        <v>0.25</v>
      </c>
    </row>
    <row r="628" spans="3:18" ht="12.75" hidden="1">
      <c r="C628" s="9"/>
      <c r="D628" s="9"/>
      <c r="E628" s="9"/>
      <c r="F628" s="9"/>
      <c r="G628" s="9"/>
      <c r="H628" s="9"/>
      <c r="I628" s="9"/>
      <c r="J628" s="9"/>
      <c r="K628" s="10"/>
      <c r="L628" s="10"/>
      <c r="M628" s="10"/>
      <c r="N628" s="10"/>
      <c r="O628" s="10"/>
      <c r="P628" s="10"/>
      <c r="Q628" s="10"/>
      <c r="R628" s="11"/>
    </row>
    <row r="629" spans="2:18" ht="12.75" hidden="1">
      <c r="B629" t="s">
        <v>25</v>
      </c>
      <c r="C629" s="9">
        <v>300</v>
      </c>
      <c r="D629" s="9">
        <v>300</v>
      </c>
      <c r="E629" s="9">
        <v>-100</v>
      </c>
      <c r="F629" s="10">
        <f>D629+E629</f>
        <v>200</v>
      </c>
      <c r="G629" s="10">
        <v>300</v>
      </c>
      <c r="H629" s="10">
        <v>200</v>
      </c>
      <c r="I629" s="9"/>
      <c r="J629" s="10">
        <f>H629+I629</f>
        <v>200</v>
      </c>
      <c r="K629" s="10">
        <v>300</v>
      </c>
      <c r="L629" s="10">
        <v>200</v>
      </c>
      <c r="M629" s="10">
        <v>300</v>
      </c>
      <c r="N629" s="10">
        <v>300</v>
      </c>
      <c r="O629" s="10"/>
      <c r="P629" s="10">
        <f>N629+O629</f>
        <v>300</v>
      </c>
      <c r="Q629" s="10">
        <f>P629-L629</f>
        <v>100</v>
      </c>
      <c r="R629" s="11">
        <f>Q629/L629</f>
        <v>0.5</v>
      </c>
    </row>
    <row r="630" spans="1:18" ht="12.75" hidden="1">
      <c r="A630" t="s">
        <v>488</v>
      </c>
      <c r="B630" t="s">
        <v>55</v>
      </c>
      <c r="C630" s="24">
        <v>100</v>
      </c>
      <c r="D630" s="10">
        <v>100</v>
      </c>
      <c r="E630" s="10"/>
      <c r="F630" s="10">
        <f>D630+E630</f>
        <v>100</v>
      </c>
      <c r="G630" s="10">
        <v>100</v>
      </c>
      <c r="H630" s="10">
        <v>100</v>
      </c>
      <c r="I630" s="10"/>
      <c r="J630" s="10">
        <f>H630+I630</f>
        <v>100</v>
      </c>
      <c r="K630" s="10">
        <v>100</v>
      </c>
      <c r="L630" s="10">
        <v>100</v>
      </c>
      <c r="M630" s="10">
        <v>100</v>
      </c>
      <c r="N630" s="10">
        <v>100</v>
      </c>
      <c r="O630" s="10"/>
      <c r="P630" s="10">
        <f>N630+O630</f>
        <v>100</v>
      </c>
      <c r="Q630" s="10">
        <f>P630-L630</f>
        <v>0</v>
      </c>
      <c r="R630" s="11">
        <f>Q630/L630</f>
        <v>0</v>
      </c>
    </row>
    <row r="631" spans="2:18" ht="12.75">
      <c r="B631" s="8" t="s">
        <v>27</v>
      </c>
      <c r="C631" s="25">
        <f aca="true" t="shared" si="228" ref="C631:Q631">SUM(C629:C630)</f>
        <v>400</v>
      </c>
      <c r="D631" s="12">
        <f t="shared" si="228"/>
        <v>400</v>
      </c>
      <c r="E631" s="12">
        <f t="shared" si="228"/>
        <v>-100</v>
      </c>
      <c r="F631" s="12">
        <f t="shared" si="228"/>
        <v>300</v>
      </c>
      <c r="G631" s="12">
        <f t="shared" si="228"/>
        <v>400</v>
      </c>
      <c r="H631" s="12">
        <f t="shared" si="228"/>
        <v>300</v>
      </c>
      <c r="I631" s="12">
        <f t="shared" si="228"/>
        <v>0</v>
      </c>
      <c r="J631" s="12">
        <f t="shared" si="228"/>
        <v>300</v>
      </c>
      <c r="K631" s="13">
        <f t="shared" si="228"/>
        <v>400</v>
      </c>
      <c r="L631" s="13">
        <f t="shared" si="228"/>
        <v>300</v>
      </c>
      <c r="M631" s="13">
        <f t="shared" si="228"/>
        <v>400</v>
      </c>
      <c r="N631" s="13">
        <f t="shared" si="228"/>
        <v>400</v>
      </c>
      <c r="O631" s="13">
        <f t="shared" si="228"/>
        <v>0</v>
      </c>
      <c r="P631" s="13">
        <f t="shared" si="228"/>
        <v>400</v>
      </c>
      <c r="Q631" s="13">
        <f t="shared" si="228"/>
        <v>100</v>
      </c>
      <c r="R631" s="14">
        <f>Q631/L631</f>
        <v>0.3333333333333333</v>
      </c>
    </row>
    <row r="632" spans="3:18" ht="12.75" hidden="1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15"/>
    </row>
    <row r="633" spans="1:18" s="16" customFormat="1" ht="12.75">
      <c r="A633" s="17"/>
      <c r="B633" s="17" t="s">
        <v>489</v>
      </c>
      <c r="C633" s="18">
        <f aca="true" t="shared" si="229" ref="C633:Q633">SUM(C631+C627+C624+C616)</f>
        <v>181335</v>
      </c>
      <c r="D633" s="18">
        <f t="shared" si="229"/>
        <v>180535</v>
      </c>
      <c r="E633" s="18">
        <f t="shared" si="229"/>
        <v>-2100</v>
      </c>
      <c r="F633" s="18">
        <f t="shared" si="229"/>
        <v>178435</v>
      </c>
      <c r="G633" s="18">
        <f t="shared" si="229"/>
        <v>182907</v>
      </c>
      <c r="H633" s="18">
        <f t="shared" si="229"/>
        <v>179807</v>
      </c>
      <c r="I633" s="18">
        <f t="shared" si="229"/>
        <v>0</v>
      </c>
      <c r="J633" s="18">
        <f t="shared" si="229"/>
        <v>179807</v>
      </c>
      <c r="K633" s="18">
        <f t="shared" si="229"/>
        <v>192068</v>
      </c>
      <c r="L633" s="18">
        <f t="shared" si="229"/>
        <v>191968</v>
      </c>
      <c r="M633" s="18">
        <f>SUM(M631+M627+M624+M616)</f>
        <v>193848</v>
      </c>
      <c r="N633" s="18">
        <f>SUM(N631+N627+N624+N616)</f>
        <v>193848</v>
      </c>
      <c r="O633" s="18">
        <f>SUM(O631+O627+O624+O616)</f>
        <v>0</v>
      </c>
      <c r="P633" s="18">
        <f>SUM(P631+P627+P624+P616)</f>
        <v>193848</v>
      </c>
      <c r="Q633" s="18">
        <f t="shared" si="229"/>
        <v>1880</v>
      </c>
      <c r="R633" s="19">
        <f>Q633/L633</f>
        <v>0.009793298883147191</v>
      </c>
    </row>
    <row r="634" spans="3:17" ht="12.7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9"/>
    </row>
    <row r="635" spans="1:16" ht="12.75">
      <c r="A635" s="8"/>
      <c r="B635" s="8" t="s">
        <v>490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1:16" ht="12.75" hidden="1">
      <c r="A636" t="s">
        <v>491</v>
      </c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1:18" ht="12.75" hidden="1">
      <c r="A637" t="s">
        <v>492</v>
      </c>
      <c r="B637" t="s">
        <v>493</v>
      </c>
      <c r="C637" s="9">
        <v>96116.11</v>
      </c>
      <c r="D637" s="9">
        <v>96117</v>
      </c>
      <c r="E637" s="9"/>
      <c r="F637" s="10">
        <f>D637+E637</f>
        <v>96117</v>
      </c>
      <c r="G637" s="10">
        <v>136117</v>
      </c>
      <c r="H637" s="10">
        <v>136117</v>
      </c>
      <c r="I637" s="9"/>
      <c r="J637" s="10">
        <f>H637+I637</f>
        <v>136117</v>
      </c>
      <c r="K637" s="10">
        <v>111117</v>
      </c>
      <c r="L637" s="10">
        <v>111117</v>
      </c>
      <c r="M637" s="10">
        <v>115300</v>
      </c>
      <c r="N637" s="10">
        <v>115300</v>
      </c>
      <c r="O637" s="10"/>
      <c r="P637" s="10">
        <f>N637+O637</f>
        <v>115300</v>
      </c>
      <c r="Q637" s="10">
        <f>P637-L637</f>
        <v>4183</v>
      </c>
      <c r="R637" s="11">
        <f aca="true" t="shared" si="230" ref="R637:R642">Q637/L637</f>
        <v>0.037645004814744816</v>
      </c>
    </row>
    <row r="638" spans="1:18" ht="12.75" hidden="1">
      <c r="A638" t="s">
        <v>494</v>
      </c>
      <c r="B638" t="s">
        <v>495</v>
      </c>
      <c r="C638" s="9">
        <v>38007.86</v>
      </c>
      <c r="D638" s="9">
        <f>38008+13600</f>
        <v>51608</v>
      </c>
      <c r="E638" s="9"/>
      <c r="F638" s="10">
        <f>D638+E638</f>
        <v>51608</v>
      </c>
      <c r="G638" s="10">
        <v>58351</v>
      </c>
      <c r="H638" s="10">
        <v>58351</v>
      </c>
      <c r="I638" s="9"/>
      <c r="J638" s="10">
        <f>H638+I638</f>
        <v>58351</v>
      </c>
      <c r="K638" s="10">
        <v>53577</v>
      </c>
      <c r="L638" s="10">
        <v>53577</v>
      </c>
      <c r="M638" s="10">
        <v>49587</v>
      </c>
      <c r="N638" s="10">
        <v>49587</v>
      </c>
      <c r="O638" s="10"/>
      <c r="P638" s="10">
        <f>N638+O638</f>
        <v>49587</v>
      </c>
      <c r="Q638" s="10">
        <f>P638-L638</f>
        <v>-3990</v>
      </c>
      <c r="R638" s="11">
        <f t="shared" si="230"/>
        <v>-0.0744722548854919</v>
      </c>
    </row>
    <row r="639" spans="2:18" ht="12.75" hidden="1">
      <c r="B639" t="s">
        <v>496</v>
      </c>
      <c r="C639" s="9">
        <v>941797</v>
      </c>
      <c r="D639" s="9">
        <v>941797</v>
      </c>
      <c r="E639" s="9"/>
      <c r="F639" s="10">
        <f>D639+E639</f>
        <v>941797</v>
      </c>
      <c r="G639" s="10">
        <v>911850</v>
      </c>
      <c r="H639" s="10">
        <v>911850</v>
      </c>
      <c r="I639" s="9">
        <v>-79014</v>
      </c>
      <c r="J639" s="10">
        <f>H639+I639</f>
        <v>832836</v>
      </c>
      <c r="K639" s="10">
        <v>832836</v>
      </c>
      <c r="L639" s="10">
        <v>820855</v>
      </c>
      <c r="M639" s="10">
        <v>798419</v>
      </c>
      <c r="N639" s="10">
        <v>798419</v>
      </c>
      <c r="O639" s="10"/>
      <c r="P639" s="10">
        <f>N639+O639</f>
        <v>798419</v>
      </c>
      <c r="Q639" s="10">
        <f>P639-L639</f>
        <v>-22436</v>
      </c>
      <c r="R639" s="11">
        <f t="shared" si="230"/>
        <v>-0.02733247650315829</v>
      </c>
    </row>
    <row r="640" spans="1:18" ht="12.75" hidden="1">
      <c r="A640" t="s">
        <v>497</v>
      </c>
      <c r="B640" t="s">
        <v>498</v>
      </c>
      <c r="C640" s="9">
        <v>10335</v>
      </c>
      <c r="D640" s="9">
        <v>10335</v>
      </c>
      <c r="E640" s="9">
        <v>50000</v>
      </c>
      <c r="F640" s="10">
        <f>D640+E640</f>
        <v>60335</v>
      </c>
      <c r="G640" s="10">
        <v>0</v>
      </c>
      <c r="H640" s="10">
        <v>0</v>
      </c>
      <c r="I640" s="9"/>
      <c r="J640" s="10">
        <f>H640+I640</f>
        <v>0</v>
      </c>
      <c r="K640" s="10">
        <v>0</v>
      </c>
      <c r="L640" s="10">
        <v>0</v>
      </c>
      <c r="M640" s="10"/>
      <c r="N640" s="10"/>
      <c r="O640" s="10"/>
      <c r="P640" s="10">
        <f>N640+O640</f>
        <v>0</v>
      </c>
      <c r="Q640" s="10">
        <f>P640-L640</f>
        <v>0</v>
      </c>
      <c r="R640" s="11" t="e">
        <f t="shared" si="230"/>
        <v>#DIV/0!</v>
      </c>
    </row>
    <row r="641" spans="1:18" ht="12.75" hidden="1">
      <c r="A641" t="s">
        <v>499</v>
      </c>
      <c r="B641" t="s">
        <v>500</v>
      </c>
      <c r="C641" s="9">
        <v>2000</v>
      </c>
      <c r="D641" s="9">
        <v>2000</v>
      </c>
      <c r="E641" s="9"/>
      <c r="F641" s="10">
        <f>D641+E641</f>
        <v>2000</v>
      </c>
      <c r="G641" s="10">
        <v>2000</v>
      </c>
      <c r="H641" s="10">
        <v>2000</v>
      </c>
      <c r="I641" s="9"/>
      <c r="J641" s="10">
        <f>H641+I641</f>
        <v>2000</v>
      </c>
      <c r="K641" s="10">
        <v>2000</v>
      </c>
      <c r="L641" s="10">
        <v>2000</v>
      </c>
      <c r="M641" s="10">
        <v>2000</v>
      </c>
      <c r="N641" s="10">
        <v>2000</v>
      </c>
      <c r="O641" s="10"/>
      <c r="P641" s="10">
        <f>N641+O641</f>
        <v>2000</v>
      </c>
      <c r="Q641" s="10">
        <f>P641-L641</f>
        <v>0</v>
      </c>
      <c r="R641" s="11">
        <f t="shared" si="230"/>
        <v>0</v>
      </c>
    </row>
    <row r="642" spans="1:18" s="16" customFormat="1" ht="12.75">
      <c r="A642" s="17"/>
      <c r="B642" s="17" t="s">
        <v>501</v>
      </c>
      <c r="C642" s="18">
        <f aca="true" t="shared" si="231" ref="C642:Q642">SUM(C636:C641)</f>
        <v>1088255.97</v>
      </c>
      <c r="D642" s="18">
        <f t="shared" si="231"/>
        <v>1101857</v>
      </c>
      <c r="E642" s="18">
        <f t="shared" si="231"/>
        <v>50000</v>
      </c>
      <c r="F642" s="18">
        <f t="shared" si="231"/>
        <v>1151857</v>
      </c>
      <c r="G642" s="18">
        <f t="shared" si="231"/>
        <v>1108318</v>
      </c>
      <c r="H642" s="18">
        <f t="shared" si="231"/>
        <v>1108318</v>
      </c>
      <c r="I642" s="18">
        <f t="shared" si="231"/>
        <v>-79014</v>
      </c>
      <c r="J642" s="18">
        <f t="shared" si="231"/>
        <v>1029304</v>
      </c>
      <c r="K642" s="18">
        <f t="shared" si="231"/>
        <v>999530</v>
      </c>
      <c r="L642" s="18">
        <f t="shared" si="231"/>
        <v>987549</v>
      </c>
      <c r="M642" s="18">
        <f t="shared" si="231"/>
        <v>965306</v>
      </c>
      <c r="N642" s="18">
        <f t="shared" si="231"/>
        <v>965306</v>
      </c>
      <c r="O642" s="18">
        <f t="shared" si="231"/>
        <v>0</v>
      </c>
      <c r="P642" s="18">
        <f t="shared" si="231"/>
        <v>965306</v>
      </c>
      <c r="Q642" s="18">
        <f t="shared" si="231"/>
        <v>-22243</v>
      </c>
      <c r="R642" s="19">
        <f t="shared" si="230"/>
        <v>-0.022523439343262966</v>
      </c>
    </row>
    <row r="643" spans="3:16" ht="12.7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2.75">
      <c r="A644" s="8"/>
      <c r="B644" s="8" t="s">
        <v>502</v>
      </c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1:21" ht="12.75" hidden="1">
      <c r="A645" t="s">
        <v>503</v>
      </c>
      <c r="B645" t="s">
        <v>504</v>
      </c>
      <c r="C645" s="9">
        <v>711610.79</v>
      </c>
      <c r="D645" s="9">
        <v>699025</v>
      </c>
      <c r="E645" s="9"/>
      <c r="F645" s="10">
        <f aca="true" t="shared" si="232" ref="F645:F656">D645+E645</f>
        <v>699025</v>
      </c>
      <c r="G645" s="10">
        <v>861649</v>
      </c>
      <c r="H645" s="10">
        <v>846340.7</v>
      </c>
      <c r="I645" s="9"/>
      <c r="J645" s="10">
        <f aca="true" t="shared" si="233" ref="J645:J656">H645+I645</f>
        <v>846340.7</v>
      </c>
      <c r="K645" s="10">
        <v>911201</v>
      </c>
      <c r="L645" s="10">
        <f>893320-2044</f>
        <v>891276</v>
      </c>
      <c r="M645" s="10">
        <v>935078</v>
      </c>
      <c r="N645" s="10">
        <v>935078</v>
      </c>
      <c r="O645" s="10"/>
      <c r="P645" s="10">
        <f aca="true" t="shared" si="234" ref="P645:P656">N645+O645</f>
        <v>935078</v>
      </c>
      <c r="Q645" s="10">
        <f aca="true" t="shared" si="235" ref="Q645:Q656">P645-L645</f>
        <v>43802</v>
      </c>
      <c r="R645" s="11">
        <f aca="true" t="shared" si="236" ref="R645:R656">Q645/L645</f>
        <v>0.04914527037640417</v>
      </c>
      <c r="T645" s="9">
        <f>G645-H645</f>
        <v>15308.300000000047</v>
      </c>
      <c r="U645" s="41">
        <f>T645/G645</f>
        <v>0.017766283022437265</v>
      </c>
    </row>
    <row r="646" spans="1:18" ht="12.75" hidden="1">
      <c r="A646" t="s">
        <v>505</v>
      </c>
      <c r="B646" t="s">
        <v>506</v>
      </c>
      <c r="C646" s="9"/>
      <c r="D646" s="9"/>
      <c r="E646" s="9"/>
      <c r="F646" s="10">
        <f t="shared" si="232"/>
        <v>0</v>
      </c>
      <c r="G646" s="10"/>
      <c r="H646" s="10"/>
      <c r="I646" s="9"/>
      <c r="J646" s="10">
        <f t="shared" si="233"/>
        <v>0</v>
      </c>
      <c r="K646" s="10"/>
      <c r="L646" s="10"/>
      <c r="M646" s="10"/>
      <c r="N646" s="10"/>
      <c r="O646" s="10"/>
      <c r="P646" s="10">
        <f t="shared" si="234"/>
        <v>0</v>
      </c>
      <c r="Q646" s="10">
        <f t="shared" si="235"/>
        <v>0</v>
      </c>
      <c r="R646" s="11" t="e">
        <f t="shared" si="236"/>
        <v>#DIV/0!</v>
      </c>
    </row>
    <row r="647" spans="1:18" ht="12.75" hidden="1">
      <c r="A647" t="s">
        <v>507</v>
      </c>
      <c r="B647" t="s">
        <v>508</v>
      </c>
      <c r="C647" s="9">
        <v>107000</v>
      </c>
      <c r="D647" s="9">
        <v>103000</v>
      </c>
      <c r="E647" s="9">
        <v>-3000</v>
      </c>
      <c r="F647" s="10">
        <f t="shared" si="232"/>
        <v>100000</v>
      </c>
      <c r="G647" s="10">
        <v>105000</v>
      </c>
      <c r="H647" s="10">
        <v>100000</v>
      </c>
      <c r="I647" s="9"/>
      <c r="J647" s="10">
        <f t="shared" si="233"/>
        <v>100000</v>
      </c>
      <c r="K647" s="10">
        <v>100000</v>
      </c>
      <c r="L647" s="10">
        <v>100000</v>
      </c>
      <c r="M647" s="10">
        <v>100000</v>
      </c>
      <c r="N647" s="10">
        <v>105000</v>
      </c>
      <c r="O647" s="10"/>
      <c r="P647" s="10">
        <f t="shared" si="234"/>
        <v>105000</v>
      </c>
      <c r="Q647" s="10">
        <f t="shared" si="235"/>
        <v>5000</v>
      </c>
      <c r="R647" s="11">
        <f t="shared" si="236"/>
        <v>0.05</v>
      </c>
    </row>
    <row r="648" spans="1:18" ht="12.75" hidden="1">
      <c r="A648" t="s">
        <v>509</v>
      </c>
      <c r="B648" t="s">
        <v>510</v>
      </c>
      <c r="C648" s="26">
        <v>50000</v>
      </c>
      <c r="D648" s="26">
        <v>25000</v>
      </c>
      <c r="E648" s="26">
        <v>15000</v>
      </c>
      <c r="F648" s="10">
        <f t="shared" si="232"/>
        <v>40000</v>
      </c>
      <c r="G648" s="10">
        <v>25000</v>
      </c>
      <c r="H648" s="10">
        <v>35000</v>
      </c>
      <c r="I648" s="26">
        <v>-20000</v>
      </c>
      <c r="J648" s="10">
        <f t="shared" si="233"/>
        <v>15000</v>
      </c>
      <c r="K648" s="10">
        <v>35000</v>
      </c>
      <c r="L648" s="10">
        <v>15000</v>
      </c>
      <c r="M648" s="10">
        <v>25000</v>
      </c>
      <c r="N648" s="10">
        <f>25000+24000-5000</f>
        <v>44000</v>
      </c>
      <c r="O648" s="10"/>
      <c r="P648" s="10">
        <f t="shared" si="234"/>
        <v>44000</v>
      </c>
      <c r="Q648" s="10">
        <f t="shared" si="235"/>
        <v>29000</v>
      </c>
      <c r="R648" s="11">
        <f t="shared" si="236"/>
        <v>1.9333333333333333</v>
      </c>
    </row>
    <row r="649" spans="1:18" ht="12.75" hidden="1">
      <c r="A649" t="s">
        <v>511</v>
      </c>
      <c r="B649" t="s">
        <v>512</v>
      </c>
      <c r="C649" s="9">
        <v>35000</v>
      </c>
      <c r="D649" s="9">
        <v>30000</v>
      </c>
      <c r="E649" s="9"/>
      <c r="F649" s="10">
        <f t="shared" si="232"/>
        <v>30000</v>
      </c>
      <c r="G649" s="10">
        <v>30000</v>
      </c>
      <c r="H649" s="10">
        <v>25000</v>
      </c>
      <c r="I649" s="9">
        <v>-7500</v>
      </c>
      <c r="J649" s="10">
        <f t="shared" si="233"/>
        <v>17500</v>
      </c>
      <c r="K649" s="10">
        <v>25000</v>
      </c>
      <c r="L649" s="10">
        <v>24000</v>
      </c>
      <c r="M649" s="10">
        <v>25000</v>
      </c>
      <c r="N649" s="10">
        <v>25000</v>
      </c>
      <c r="O649" s="10"/>
      <c r="P649" s="10">
        <f t="shared" si="234"/>
        <v>25000</v>
      </c>
      <c r="Q649" s="10">
        <f t="shared" si="235"/>
        <v>1000</v>
      </c>
      <c r="R649" s="11">
        <f t="shared" si="236"/>
        <v>0.041666666666666664</v>
      </c>
    </row>
    <row r="650" spans="1:18" ht="12.75" hidden="1">
      <c r="A650" t="s">
        <v>513</v>
      </c>
      <c r="B650" t="s">
        <v>514</v>
      </c>
      <c r="C650" s="9">
        <v>827227</v>
      </c>
      <c r="D650" s="9">
        <f>841048-10000</f>
        <v>831048</v>
      </c>
      <c r="E650" s="9">
        <v>-25000</v>
      </c>
      <c r="F650" s="10">
        <f t="shared" si="232"/>
        <v>806048</v>
      </c>
      <c r="G650" s="10">
        <f>F650*1.1316</f>
        <v>912123.9168</v>
      </c>
      <c r="H650" s="10">
        <f>906301-110</f>
        <v>906191</v>
      </c>
      <c r="I650" s="9">
        <v>-60000</v>
      </c>
      <c r="J650" s="10">
        <f t="shared" si="233"/>
        <v>846191</v>
      </c>
      <c r="K650" s="10">
        <v>1000776</v>
      </c>
      <c r="L650" s="10">
        <f>1000776-10000</f>
        <v>990776</v>
      </c>
      <c r="M650" s="10">
        <f>990776*1.07</f>
        <v>1060130.32</v>
      </c>
      <c r="N650" s="10">
        <v>975000</v>
      </c>
      <c r="O650" s="10"/>
      <c r="P650" s="10">
        <f t="shared" si="234"/>
        <v>975000</v>
      </c>
      <c r="Q650" s="10">
        <f t="shared" si="235"/>
        <v>-15776</v>
      </c>
      <c r="R650" s="11">
        <f t="shared" si="236"/>
        <v>-0.01592287257664699</v>
      </c>
    </row>
    <row r="651" spans="1:18" ht="12.75" hidden="1">
      <c r="A651" t="s">
        <v>515</v>
      </c>
      <c r="B651" t="s">
        <v>516</v>
      </c>
      <c r="C651" s="9"/>
      <c r="D651" s="9"/>
      <c r="E651" s="9"/>
      <c r="F651" s="10">
        <f t="shared" si="232"/>
        <v>0</v>
      </c>
      <c r="G651" s="10"/>
      <c r="H651" s="10"/>
      <c r="I651" s="9"/>
      <c r="J651" s="10">
        <f t="shared" si="233"/>
        <v>0</v>
      </c>
      <c r="K651" s="10"/>
      <c r="L651" s="10"/>
      <c r="M651" s="10"/>
      <c r="N651" s="10"/>
      <c r="O651" s="10"/>
      <c r="P651" s="10">
        <f t="shared" si="234"/>
        <v>0</v>
      </c>
      <c r="Q651" s="10">
        <f t="shared" si="235"/>
        <v>0</v>
      </c>
      <c r="R651" s="11" t="e">
        <f t="shared" si="236"/>
        <v>#DIV/0!</v>
      </c>
    </row>
    <row r="652" spans="1:18" ht="12.75" hidden="1">
      <c r="A652" t="s">
        <v>517</v>
      </c>
      <c r="B652" t="s">
        <v>518</v>
      </c>
      <c r="C652" s="9">
        <v>170000</v>
      </c>
      <c r="D652" s="9">
        <v>160000</v>
      </c>
      <c r="E652" s="9">
        <v>10000</v>
      </c>
      <c r="F652" s="10">
        <f t="shared" si="232"/>
        <v>170000</v>
      </c>
      <c r="G652" s="10">
        <v>185000</v>
      </c>
      <c r="H652" s="10">
        <v>170000</v>
      </c>
      <c r="I652" s="9"/>
      <c r="J652" s="10">
        <f t="shared" si="233"/>
        <v>170000</v>
      </c>
      <c r="K652" s="10">
        <v>170000</v>
      </c>
      <c r="L652" s="10">
        <v>180000</v>
      </c>
      <c r="M652" s="10">
        <v>200000</v>
      </c>
      <c r="N652" s="10">
        <v>190000</v>
      </c>
      <c r="O652" s="10">
        <v>6400</v>
      </c>
      <c r="P652" s="10">
        <f t="shared" si="234"/>
        <v>196400</v>
      </c>
      <c r="Q652" s="10">
        <f t="shared" si="235"/>
        <v>16400</v>
      </c>
      <c r="R652" s="11">
        <f t="shared" si="236"/>
        <v>0.09111111111111111</v>
      </c>
    </row>
    <row r="653" spans="1:18" ht="12.75" hidden="1">
      <c r="A653" t="s">
        <v>519</v>
      </c>
      <c r="B653" t="s">
        <v>520</v>
      </c>
      <c r="C653" s="9">
        <v>54360</v>
      </c>
      <c r="D653" s="9">
        <v>18190</v>
      </c>
      <c r="E653" s="9">
        <v>-10000</v>
      </c>
      <c r="F653" s="10">
        <f t="shared" si="232"/>
        <v>8190</v>
      </c>
      <c r="G653" s="10">
        <v>36000</v>
      </c>
      <c r="H653" s="10">
        <f>18000-4400</f>
        <v>13600</v>
      </c>
      <c r="I653" s="9">
        <v>-13600</v>
      </c>
      <c r="J653" s="10">
        <f t="shared" si="233"/>
        <v>0</v>
      </c>
      <c r="K653" s="10">
        <f>18000-4400</f>
        <v>13600</v>
      </c>
      <c r="L653" s="10">
        <v>36000</v>
      </c>
      <c r="M653" s="10">
        <v>36000</v>
      </c>
      <c r="N653" s="10">
        <v>36000</v>
      </c>
      <c r="O653" s="10">
        <v>-10000</v>
      </c>
      <c r="P653" s="10">
        <f t="shared" si="234"/>
        <v>26000</v>
      </c>
      <c r="Q653" s="10">
        <f t="shared" si="235"/>
        <v>-10000</v>
      </c>
      <c r="R653" s="11">
        <f t="shared" si="236"/>
        <v>-0.2777777777777778</v>
      </c>
    </row>
    <row r="654" spans="1:18" ht="12.75" hidden="1">
      <c r="A654" t="s">
        <v>521</v>
      </c>
      <c r="B654" t="s">
        <v>522</v>
      </c>
      <c r="C654" s="9"/>
      <c r="D654" s="9"/>
      <c r="E654" s="9"/>
      <c r="F654" s="10">
        <f t="shared" si="232"/>
        <v>0</v>
      </c>
      <c r="G654" s="10"/>
      <c r="H654" s="10"/>
      <c r="I654" s="9"/>
      <c r="J654" s="10">
        <f t="shared" si="233"/>
        <v>0</v>
      </c>
      <c r="K654" s="10"/>
      <c r="L654" s="10"/>
      <c r="M654" s="10"/>
      <c r="N654" s="10"/>
      <c r="O654" s="10"/>
      <c r="P654" s="10">
        <f t="shared" si="234"/>
        <v>0</v>
      </c>
      <c r="Q654" s="10">
        <f t="shared" si="235"/>
        <v>0</v>
      </c>
      <c r="R654" s="11" t="e">
        <f t="shared" si="236"/>
        <v>#DIV/0!</v>
      </c>
    </row>
    <row r="655" spans="2:18" ht="12.75" hidden="1">
      <c r="B655" t="s">
        <v>523</v>
      </c>
      <c r="C655" s="9"/>
      <c r="D655" s="9"/>
      <c r="E655" s="9"/>
      <c r="F655" s="10">
        <f t="shared" si="232"/>
        <v>0</v>
      </c>
      <c r="G655" s="10"/>
      <c r="H655" s="10"/>
      <c r="I655" s="9"/>
      <c r="J655" s="10">
        <f t="shared" si="233"/>
        <v>0</v>
      </c>
      <c r="K655" s="10"/>
      <c r="L655" s="10"/>
      <c r="M655" s="10"/>
      <c r="N655" s="10"/>
      <c r="O655" s="10"/>
      <c r="P655" s="10">
        <f t="shared" si="234"/>
        <v>0</v>
      </c>
      <c r="Q655" s="10">
        <f t="shared" si="235"/>
        <v>0</v>
      </c>
      <c r="R655" s="11" t="e">
        <f t="shared" si="236"/>
        <v>#DIV/0!</v>
      </c>
    </row>
    <row r="656" spans="2:18" ht="12.75" hidden="1">
      <c r="B656" t="s">
        <v>524</v>
      </c>
      <c r="C656" s="9"/>
      <c r="D656" s="9"/>
      <c r="E656" s="9"/>
      <c r="F656" s="10">
        <f t="shared" si="232"/>
        <v>0</v>
      </c>
      <c r="G656" s="10"/>
      <c r="H656" s="10"/>
      <c r="I656" s="9"/>
      <c r="J656" s="10">
        <f t="shared" si="233"/>
        <v>0</v>
      </c>
      <c r="K656" s="10"/>
      <c r="L656" s="10"/>
      <c r="M656" s="10"/>
      <c r="N656" s="10"/>
      <c r="O656" s="10"/>
      <c r="P656" s="10">
        <f t="shared" si="234"/>
        <v>0</v>
      </c>
      <c r="Q656" s="10">
        <f t="shared" si="235"/>
        <v>0</v>
      </c>
      <c r="R656" s="11" t="e">
        <f t="shared" si="236"/>
        <v>#DIV/0!</v>
      </c>
    </row>
    <row r="657" spans="1:18" s="16" customFormat="1" ht="12.75">
      <c r="A657" s="17"/>
      <c r="B657" s="17" t="s">
        <v>525</v>
      </c>
      <c r="C657" s="18">
        <f aca="true" t="shared" si="237" ref="C657:Q657">SUM(C645:C656)</f>
        <v>1955197.79</v>
      </c>
      <c r="D657" s="18">
        <f t="shared" si="237"/>
        <v>1866263</v>
      </c>
      <c r="E657" s="18">
        <f t="shared" si="237"/>
        <v>-13000</v>
      </c>
      <c r="F657" s="18">
        <f t="shared" si="237"/>
        <v>1853263</v>
      </c>
      <c r="G657" s="18">
        <f t="shared" si="237"/>
        <v>2154772.9168</v>
      </c>
      <c r="H657" s="18">
        <f t="shared" si="237"/>
        <v>2096131.7</v>
      </c>
      <c r="I657" s="18">
        <f t="shared" si="237"/>
        <v>-101100</v>
      </c>
      <c r="J657" s="18">
        <f t="shared" si="237"/>
        <v>1995031.7</v>
      </c>
      <c r="K657" s="18">
        <f t="shared" si="237"/>
        <v>2255577</v>
      </c>
      <c r="L657" s="18">
        <f t="shared" si="237"/>
        <v>2237052</v>
      </c>
      <c r="M657" s="18">
        <f>SUM(M645:M656)</f>
        <v>2381208.3200000003</v>
      </c>
      <c r="N657" s="18">
        <f>SUM(N645:N656)</f>
        <v>2310078</v>
      </c>
      <c r="O657" s="18">
        <f>SUM(O645:O656)</f>
        <v>-3600</v>
      </c>
      <c r="P657" s="18">
        <f>SUM(P645:P656)</f>
        <v>2306478</v>
      </c>
      <c r="Q657" s="18">
        <f t="shared" si="237"/>
        <v>69426</v>
      </c>
      <c r="R657" s="19">
        <f>Q657/L657</f>
        <v>0.03103459374212133</v>
      </c>
    </row>
    <row r="658" spans="3:17" ht="12.7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9"/>
    </row>
    <row r="659" spans="1:18" s="16" customFormat="1" ht="12.75">
      <c r="A659" s="17"/>
      <c r="B659" s="17" t="s">
        <v>526</v>
      </c>
      <c r="C659" s="18" t="e">
        <f>+C19+C45+C63+C85+C113+C138+C167+C194+C210+C225+C287+C331+C351+C382+C403+C424+C441+C446+C450+C501+C513+C532+C556+C591+C605+C633+C642+#REF!+C657</f>
        <v>#REF!</v>
      </c>
      <c r="D659" s="18">
        <f aca="true" t="shared" si="238" ref="D659:Q659">+D19+D45+D63+D85+D113+D138+D167+D194+D210+D225+D287+D331+D351+D382+D403+D424+D441+D446+D450+D501+D513+D532+D556+D591+D605+D633+D642+D657</f>
        <v>18469431.66</v>
      </c>
      <c r="E659" s="18">
        <f t="shared" si="238"/>
        <v>-12750</v>
      </c>
      <c r="F659" s="18">
        <f t="shared" si="238"/>
        <v>18454581.66</v>
      </c>
      <c r="G659" s="18">
        <f t="shared" si="238"/>
        <v>19496424.2768</v>
      </c>
      <c r="H659" s="18">
        <f t="shared" si="238"/>
        <v>19036112.2</v>
      </c>
      <c r="I659" s="18">
        <f t="shared" si="238"/>
        <v>-189214</v>
      </c>
      <c r="J659" s="18">
        <f t="shared" si="238"/>
        <v>18846898.2</v>
      </c>
      <c r="K659" s="18">
        <f t="shared" si="238"/>
        <v>20244929.305</v>
      </c>
      <c r="L659" s="18">
        <f t="shared" si="238"/>
        <v>19546949.505</v>
      </c>
      <c r="M659" s="18">
        <f t="shared" si="238"/>
        <v>20800388.125</v>
      </c>
      <c r="N659" s="18">
        <f t="shared" si="238"/>
        <v>20127442.655</v>
      </c>
      <c r="O659" s="18">
        <f t="shared" si="238"/>
        <v>-62177</v>
      </c>
      <c r="P659" s="18">
        <f t="shared" si="238"/>
        <v>20065265.655</v>
      </c>
      <c r="Q659" s="18">
        <f t="shared" si="238"/>
        <v>518316.14999999997</v>
      </c>
      <c r="R659" s="19">
        <f>Q659/L659</f>
        <v>0.026516472550738295</v>
      </c>
    </row>
    <row r="660" spans="3:17" ht="12.7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9"/>
    </row>
    <row r="661" spans="2:17" ht="12.75">
      <c r="B661" s="8" t="s">
        <v>527</v>
      </c>
      <c r="C661" s="7"/>
      <c r="D661" s="7"/>
      <c r="E661" s="7"/>
      <c r="F661" s="42"/>
      <c r="G661" s="42"/>
      <c r="H661" s="42"/>
      <c r="I661" s="7"/>
      <c r="J661" s="42"/>
      <c r="K661" s="42"/>
      <c r="L661" s="42"/>
      <c r="M661" s="42"/>
      <c r="N661" s="42"/>
      <c r="O661" s="42"/>
      <c r="P661" s="42"/>
      <c r="Q661" s="9"/>
    </row>
    <row r="662" spans="3:16" ht="12.75" hidden="1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2:21" ht="12.75" hidden="1">
      <c r="B663" t="s">
        <v>528</v>
      </c>
      <c r="C663" s="9">
        <v>185000</v>
      </c>
      <c r="D663" s="9">
        <v>182260</v>
      </c>
      <c r="E663" s="9"/>
      <c r="F663" s="10">
        <f>D663+E663</f>
        <v>182260</v>
      </c>
      <c r="G663" s="10">
        <v>182111</v>
      </c>
      <c r="H663" s="10">
        <v>168550</v>
      </c>
      <c r="I663" s="9">
        <v>4</v>
      </c>
      <c r="J663" s="10">
        <f>H663+I663</f>
        <v>168554</v>
      </c>
      <c r="K663" s="10">
        <v>184920</v>
      </c>
      <c r="L663" s="10">
        <v>184920</v>
      </c>
      <c r="M663" s="10">
        <v>184920</v>
      </c>
      <c r="N663" s="10">
        <v>184180</v>
      </c>
      <c r="O663" s="10"/>
      <c r="P663" s="10">
        <f>N663+O663</f>
        <v>184180</v>
      </c>
      <c r="Q663" s="10">
        <f>P663-L663</f>
        <v>-740</v>
      </c>
      <c r="R663" s="11">
        <f>Q663/L663</f>
        <v>-0.00400173047804456</v>
      </c>
      <c r="U663" s="9"/>
    </row>
    <row r="664" spans="2:21" ht="12.75" hidden="1">
      <c r="B664" t="s">
        <v>529</v>
      </c>
      <c r="C664" s="9">
        <v>100000</v>
      </c>
      <c r="D664" s="9">
        <v>100000</v>
      </c>
      <c r="E664" s="9"/>
      <c r="F664" s="10">
        <f>D664+E664</f>
        <v>100000</v>
      </c>
      <c r="G664" s="10">
        <v>100000</v>
      </c>
      <c r="H664" s="10">
        <v>100000</v>
      </c>
      <c r="I664" s="9"/>
      <c r="J664" s="10">
        <f>H664+I664</f>
        <v>100000</v>
      </c>
      <c r="K664" s="10">
        <v>100000</v>
      </c>
      <c r="L664" s="10">
        <v>100000</v>
      </c>
      <c r="M664" s="10">
        <v>125000</v>
      </c>
      <c r="N664" s="10">
        <v>120000</v>
      </c>
      <c r="O664" s="10"/>
      <c r="P664" s="10">
        <f>N664+O664</f>
        <v>120000</v>
      </c>
      <c r="Q664" s="10">
        <f>P664-L664</f>
        <v>20000</v>
      </c>
      <c r="R664" s="11">
        <f>Q664/L664</f>
        <v>0.2</v>
      </c>
      <c r="U664" s="9"/>
    </row>
    <row r="665" spans="2:21" ht="12.75" hidden="1">
      <c r="B665" t="s">
        <v>530</v>
      </c>
      <c r="C665" s="9">
        <v>8421</v>
      </c>
      <c r="D665" s="9">
        <v>6452</v>
      </c>
      <c r="E665" s="9"/>
      <c r="F665" s="10">
        <f>D665+E665</f>
        <v>6452</v>
      </c>
      <c r="G665" s="10">
        <v>6502</v>
      </c>
      <c r="H665" s="10">
        <v>6502</v>
      </c>
      <c r="I665" s="9"/>
      <c r="J665" s="10">
        <f>H665+I665</f>
        <v>6502</v>
      </c>
      <c r="K665" s="10">
        <v>6270</v>
      </c>
      <c r="L665" s="10">
        <v>6270</v>
      </c>
      <c r="M665" s="10">
        <v>6270</v>
      </c>
      <c r="N665" s="10">
        <v>6269</v>
      </c>
      <c r="O665" s="10"/>
      <c r="P665" s="10">
        <f>N665+O665</f>
        <v>6269</v>
      </c>
      <c r="Q665" s="10">
        <f>P665-L665</f>
        <v>-1</v>
      </c>
      <c r="R665" s="11">
        <f>Q665/L665</f>
        <v>-0.0001594896331738437</v>
      </c>
      <c r="U665" s="9"/>
    </row>
    <row r="666" spans="2:18" ht="12.75" hidden="1">
      <c r="B666" t="s">
        <v>531</v>
      </c>
      <c r="C666" s="9">
        <v>16795</v>
      </c>
      <c r="D666" s="9">
        <v>16795</v>
      </c>
      <c r="E666" s="9"/>
      <c r="F666" s="10">
        <f>D666+E666</f>
        <v>16795</v>
      </c>
      <c r="G666" s="10">
        <v>0</v>
      </c>
      <c r="H666" s="10">
        <v>0</v>
      </c>
      <c r="I666" s="9"/>
      <c r="J666" s="10">
        <f>H666+I666</f>
        <v>0</v>
      </c>
      <c r="K666" s="10">
        <v>0</v>
      </c>
      <c r="L666" s="10">
        <v>0</v>
      </c>
      <c r="M666" s="10"/>
      <c r="N666" s="10"/>
      <c r="O666" s="10"/>
      <c r="P666" s="10">
        <f>N666+O666</f>
        <v>0</v>
      </c>
      <c r="Q666" s="10">
        <f>P666-L666</f>
        <v>0</v>
      </c>
      <c r="R666" s="11" t="e">
        <f>Q666/L666</f>
        <v>#DIV/0!</v>
      </c>
    </row>
    <row r="667" spans="2:18" ht="12.75">
      <c r="B667" s="8" t="s">
        <v>532</v>
      </c>
      <c r="C667" s="18">
        <f aca="true" t="shared" si="239" ref="C667:Q667">SUM(C663:C666)</f>
        <v>310216</v>
      </c>
      <c r="D667" s="18">
        <f t="shared" si="239"/>
        <v>305507</v>
      </c>
      <c r="E667" s="18">
        <f t="shared" si="239"/>
        <v>0</v>
      </c>
      <c r="F667" s="18">
        <f t="shared" si="239"/>
        <v>305507</v>
      </c>
      <c r="G667" s="18">
        <f t="shared" si="239"/>
        <v>288613</v>
      </c>
      <c r="H667" s="18">
        <f t="shared" si="239"/>
        <v>275052</v>
      </c>
      <c r="I667" s="18">
        <f t="shared" si="239"/>
        <v>4</v>
      </c>
      <c r="J667" s="18">
        <f t="shared" si="239"/>
        <v>275056</v>
      </c>
      <c r="K667" s="18">
        <f t="shared" si="239"/>
        <v>291190</v>
      </c>
      <c r="L667" s="18">
        <f t="shared" si="239"/>
        <v>291190</v>
      </c>
      <c r="M667" s="18">
        <f>SUM(M663:M666)</f>
        <v>316190</v>
      </c>
      <c r="N667" s="18">
        <f>SUM(N663:N666)</f>
        <v>310449</v>
      </c>
      <c r="O667" s="18">
        <f>SUM(O663:O666)</f>
        <v>0</v>
      </c>
      <c r="P667" s="18">
        <f>SUM(P663:P666)</f>
        <v>310449</v>
      </c>
      <c r="Q667" s="18">
        <f t="shared" si="239"/>
        <v>19259</v>
      </c>
      <c r="R667" s="19">
        <f>Q667/L667</f>
        <v>0.06613894707922661</v>
      </c>
    </row>
    <row r="668" spans="3:16" ht="12.7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2:18" ht="12.75">
      <c r="B669" s="8" t="s">
        <v>533</v>
      </c>
      <c r="C669" s="43" t="e">
        <f aca="true" t="shared" si="240" ref="C669:Q669">C667+C659</f>
        <v>#REF!</v>
      </c>
      <c r="D669" s="43">
        <f t="shared" si="240"/>
        <v>18774938.66</v>
      </c>
      <c r="E669" s="43">
        <f t="shared" si="240"/>
        <v>-12750</v>
      </c>
      <c r="F669" s="43">
        <f t="shared" si="240"/>
        <v>18760088.66</v>
      </c>
      <c r="G669" s="43">
        <f t="shared" si="240"/>
        <v>19785037.2768</v>
      </c>
      <c r="H669" s="43">
        <f t="shared" si="240"/>
        <v>19311164.2</v>
      </c>
      <c r="I669" s="43">
        <f t="shared" si="240"/>
        <v>-189210</v>
      </c>
      <c r="J669" s="43">
        <f t="shared" si="240"/>
        <v>19121954.2</v>
      </c>
      <c r="K669" s="43">
        <f t="shared" si="240"/>
        <v>20536119.305</v>
      </c>
      <c r="L669" s="43">
        <f t="shared" si="240"/>
        <v>19838139.505</v>
      </c>
      <c r="M669" s="43">
        <f t="shared" si="240"/>
        <v>21116578.125</v>
      </c>
      <c r="N669" s="43">
        <f t="shared" si="240"/>
        <v>20437891.655</v>
      </c>
      <c r="O669" s="43">
        <f t="shared" si="240"/>
        <v>-62177</v>
      </c>
      <c r="P669" s="43">
        <f t="shared" si="240"/>
        <v>20375714.655</v>
      </c>
      <c r="Q669" s="43">
        <f t="shared" si="240"/>
        <v>537575.1499999999</v>
      </c>
      <c r="R669" s="37">
        <f>Q669/L669</f>
        <v>0.027098062792859662</v>
      </c>
    </row>
    <row r="670" spans="3:18" ht="12.7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9"/>
      <c r="R670" s="7"/>
    </row>
    <row r="671" spans="2:18" ht="12.75">
      <c r="B671" s="8" t="s">
        <v>534</v>
      </c>
      <c r="C671" s="9"/>
      <c r="D671" s="9"/>
      <c r="E671" s="9"/>
      <c r="F671" s="9"/>
      <c r="G671" s="9"/>
      <c r="H671" s="44">
        <f>H452/H669</f>
        <v>0.49858614945648905</v>
      </c>
      <c r="I671" s="9"/>
      <c r="J671" s="9"/>
      <c r="K671" s="9"/>
      <c r="L671" s="9"/>
      <c r="M671" s="9"/>
      <c r="N671" s="9"/>
      <c r="O671" s="9"/>
      <c r="P671" s="9"/>
      <c r="Q671" s="7"/>
      <c r="R671" s="7"/>
    </row>
    <row r="672" spans="3:18" ht="12.75">
      <c r="C672" s="1"/>
      <c r="D672" s="1"/>
      <c r="E672" s="1"/>
      <c r="F672" s="1" t="s">
        <v>0</v>
      </c>
      <c r="G672" s="1"/>
      <c r="H672" s="1"/>
      <c r="I672" s="1"/>
      <c r="J672" s="1" t="s">
        <v>0</v>
      </c>
      <c r="K672" s="1" t="s">
        <v>1</v>
      </c>
      <c r="L672" s="1" t="s">
        <v>2</v>
      </c>
      <c r="M672" s="1" t="s">
        <v>1</v>
      </c>
      <c r="N672" s="1" t="s">
        <v>2</v>
      </c>
      <c r="O672" s="1"/>
      <c r="P672" s="1"/>
      <c r="Q672" s="2"/>
      <c r="R672" s="2"/>
    </row>
    <row r="673" spans="3:18" ht="12.75">
      <c r="C673" s="1" t="s">
        <v>1</v>
      </c>
      <c r="D673" s="1" t="s">
        <v>4</v>
      </c>
      <c r="E673" s="1" t="s">
        <v>5</v>
      </c>
      <c r="F673" s="1" t="s">
        <v>3</v>
      </c>
      <c r="G673" s="1" t="s">
        <v>5</v>
      </c>
      <c r="H673" s="1" t="s">
        <v>4</v>
      </c>
      <c r="I673" s="1" t="s">
        <v>5</v>
      </c>
      <c r="J673" s="1" t="s">
        <v>3</v>
      </c>
      <c r="K673" s="1" t="s">
        <v>5</v>
      </c>
      <c r="L673" s="1" t="s">
        <v>5</v>
      </c>
      <c r="M673" s="1" t="s">
        <v>5</v>
      </c>
      <c r="N673" s="1" t="s">
        <v>5</v>
      </c>
      <c r="O673" s="1"/>
      <c r="P673" s="1"/>
      <c r="Q673" s="1" t="s">
        <v>6</v>
      </c>
      <c r="R673" s="1" t="s">
        <v>7</v>
      </c>
    </row>
    <row r="674" spans="1:18" ht="12.75">
      <c r="A674" s="2"/>
      <c r="B674" s="1" t="s">
        <v>8</v>
      </c>
      <c r="C674" s="3">
        <v>2011</v>
      </c>
      <c r="D674" s="3">
        <v>2011</v>
      </c>
      <c r="E674" s="3">
        <v>2011</v>
      </c>
      <c r="F674" s="3">
        <v>2011</v>
      </c>
      <c r="G674" s="3">
        <v>2012</v>
      </c>
      <c r="H674" s="3">
        <v>2012</v>
      </c>
      <c r="I674" s="3">
        <v>2012</v>
      </c>
      <c r="J674" s="3">
        <v>2012</v>
      </c>
      <c r="K674" s="3">
        <v>2013</v>
      </c>
      <c r="L674" s="3">
        <v>2013</v>
      </c>
      <c r="M674" s="3">
        <v>2014</v>
      </c>
      <c r="N674" s="3">
        <v>2014</v>
      </c>
      <c r="O674" s="3"/>
      <c r="P674" s="3"/>
      <c r="Q674" s="2" t="s">
        <v>9</v>
      </c>
      <c r="R674" s="2" t="s">
        <v>9</v>
      </c>
    </row>
    <row r="675" spans="1:18" ht="12.75">
      <c r="A675" s="4" t="s">
        <v>10</v>
      </c>
      <c r="B675" s="5" t="s">
        <v>11</v>
      </c>
      <c r="C675" s="5" t="s">
        <v>12</v>
      </c>
      <c r="D675" s="5" t="s">
        <v>12</v>
      </c>
      <c r="E675" s="4" t="s">
        <v>13</v>
      </c>
      <c r="F675" s="5" t="s">
        <v>12</v>
      </c>
      <c r="G675" s="5" t="s">
        <v>12</v>
      </c>
      <c r="H675" s="5" t="s">
        <v>12</v>
      </c>
      <c r="I675" s="4" t="s">
        <v>13</v>
      </c>
      <c r="J675" s="5" t="s">
        <v>12</v>
      </c>
      <c r="K675" s="5" t="s">
        <v>12</v>
      </c>
      <c r="L675" s="5" t="s">
        <v>12</v>
      </c>
      <c r="M675" s="5" t="s">
        <v>12</v>
      </c>
      <c r="N675" s="5" t="s">
        <v>12</v>
      </c>
      <c r="O675" s="5"/>
      <c r="P675" s="5"/>
      <c r="Q675" s="4" t="s">
        <v>15</v>
      </c>
      <c r="R675" s="4" t="s">
        <v>15</v>
      </c>
    </row>
    <row r="676" spans="2:18" ht="12.75">
      <c r="B676" s="8" t="s">
        <v>535</v>
      </c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</row>
    <row r="677" spans="1:18" ht="12.75" hidden="1">
      <c r="A677" t="s">
        <v>536</v>
      </c>
      <c r="B677" t="s">
        <v>537</v>
      </c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2.75" hidden="1">
      <c r="A678" t="s">
        <v>538</v>
      </c>
      <c r="B678" t="s">
        <v>539</v>
      </c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2.75">
      <c r="A679" t="s">
        <v>540</v>
      </c>
      <c r="B679" t="s">
        <v>541</v>
      </c>
      <c r="C679" s="10">
        <v>219651</v>
      </c>
      <c r="D679" s="10">
        <v>219651</v>
      </c>
      <c r="E679" s="10"/>
      <c r="F679" s="10">
        <f aca="true" t="shared" si="241" ref="F679:F688">D679+E679</f>
        <v>219651</v>
      </c>
      <c r="G679" s="10">
        <v>219651</v>
      </c>
      <c r="H679" s="10">
        <v>219651</v>
      </c>
      <c r="I679" s="10"/>
      <c r="J679" s="10">
        <f aca="true" t="shared" si="242" ref="J679:J688">H679+I679</f>
        <v>219651</v>
      </c>
      <c r="K679" s="10">
        <v>234449</v>
      </c>
      <c r="L679" s="10">
        <v>229190</v>
      </c>
      <c r="M679" s="10">
        <v>229190</v>
      </c>
      <c r="N679" s="10">
        <v>229190</v>
      </c>
      <c r="O679" s="10"/>
      <c r="P679" s="10"/>
      <c r="Q679" s="10">
        <f aca="true" t="shared" si="243" ref="Q679:Q688">N679-L679</f>
        <v>0</v>
      </c>
      <c r="R679" s="11">
        <f aca="true" t="shared" si="244" ref="R679:R688">Q679/L679</f>
        <v>0</v>
      </c>
    </row>
    <row r="680" spans="1:18" ht="12.75">
      <c r="A680" t="s">
        <v>542</v>
      </c>
      <c r="B680" t="s">
        <v>543</v>
      </c>
      <c r="C680" s="10">
        <v>8000</v>
      </c>
      <c r="D680" s="10">
        <f>8000+8000</f>
        <v>16000</v>
      </c>
      <c r="E680" s="10"/>
      <c r="F680" s="10">
        <f t="shared" si="241"/>
        <v>16000</v>
      </c>
      <c r="G680" s="10">
        <v>8000</v>
      </c>
      <c r="H680" s="10">
        <v>8000</v>
      </c>
      <c r="I680" s="10"/>
      <c r="J680" s="10">
        <f t="shared" si="242"/>
        <v>8000</v>
      </c>
      <c r="K680" s="10">
        <v>8000</v>
      </c>
      <c r="L680" s="10"/>
      <c r="M680" s="10"/>
      <c r="N680" s="10"/>
      <c r="O680" s="10"/>
      <c r="P680" s="10"/>
      <c r="Q680" s="10">
        <f t="shared" si="243"/>
        <v>0</v>
      </c>
      <c r="R680" s="11" t="e">
        <f t="shared" si="244"/>
        <v>#DIV/0!</v>
      </c>
    </row>
    <row r="681" spans="1:18" ht="12.75">
      <c r="A681" t="s">
        <v>544</v>
      </c>
      <c r="B681" t="s">
        <v>545</v>
      </c>
      <c r="C681" s="10">
        <v>4000</v>
      </c>
      <c r="D681" s="10">
        <v>4000</v>
      </c>
      <c r="E681" s="10"/>
      <c r="F681" s="10">
        <f t="shared" si="241"/>
        <v>4000</v>
      </c>
      <c r="G681" s="10">
        <v>4000</v>
      </c>
      <c r="H681" s="10">
        <v>4000</v>
      </c>
      <c r="I681" s="10"/>
      <c r="J681" s="10">
        <f t="shared" si="242"/>
        <v>4000</v>
      </c>
      <c r="K681" s="10">
        <v>4000</v>
      </c>
      <c r="L681" s="10">
        <v>4000</v>
      </c>
      <c r="M681" s="10">
        <v>4000</v>
      </c>
      <c r="N681" s="10">
        <v>4000</v>
      </c>
      <c r="O681" s="10"/>
      <c r="P681" s="10"/>
      <c r="Q681" s="10">
        <f t="shared" si="243"/>
        <v>0</v>
      </c>
      <c r="R681" s="11">
        <f t="shared" si="244"/>
        <v>0</v>
      </c>
    </row>
    <row r="682" spans="1:18" ht="12.75">
      <c r="A682" t="s">
        <v>546</v>
      </c>
      <c r="B682" t="s">
        <v>547</v>
      </c>
      <c r="C682" s="10"/>
      <c r="D682" s="10"/>
      <c r="E682" s="10"/>
      <c r="F682" s="10">
        <f t="shared" si="241"/>
        <v>0</v>
      </c>
      <c r="G682" s="10"/>
      <c r="H682" s="10"/>
      <c r="I682" s="10"/>
      <c r="J682" s="10">
        <f t="shared" si="242"/>
        <v>0</v>
      </c>
      <c r="K682" s="10"/>
      <c r="L682" s="10"/>
      <c r="M682" s="10"/>
      <c r="N682" s="10"/>
      <c r="O682" s="10"/>
      <c r="P682" s="10"/>
      <c r="Q682" s="10">
        <f t="shared" si="243"/>
        <v>0</v>
      </c>
      <c r="R682" s="11" t="e">
        <f t="shared" si="244"/>
        <v>#DIV/0!</v>
      </c>
    </row>
    <row r="683" spans="1:18" ht="12.75">
      <c r="A683" t="s">
        <v>548</v>
      </c>
      <c r="B683" t="s">
        <v>508</v>
      </c>
      <c r="C683" s="10"/>
      <c r="D683" s="10"/>
      <c r="E683" s="10"/>
      <c r="F683" s="10">
        <f t="shared" si="241"/>
        <v>0</v>
      </c>
      <c r="G683" s="10"/>
      <c r="H683" s="10"/>
      <c r="I683" s="10"/>
      <c r="J683" s="10">
        <f t="shared" si="242"/>
        <v>0</v>
      </c>
      <c r="K683" s="10"/>
      <c r="L683" s="10"/>
      <c r="M683" s="10"/>
      <c r="N683" s="10"/>
      <c r="O683" s="10"/>
      <c r="P683" s="10"/>
      <c r="Q683" s="10">
        <f t="shared" si="243"/>
        <v>0</v>
      </c>
      <c r="R683" s="11" t="e">
        <f t="shared" si="244"/>
        <v>#DIV/0!</v>
      </c>
    </row>
    <row r="684" spans="1:18" ht="12.75">
      <c r="A684" t="s">
        <v>549</v>
      </c>
      <c r="B684" t="s">
        <v>550</v>
      </c>
      <c r="C684" s="10">
        <v>43555</v>
      </c>
      <c r="D684" s="10">
        <v>43555</v>
      </c>
      <c r="E684" s="10"/>
      <c r="F684" s="10">
        <f t="shared" si="241"/>
        <v>43555</v>
      </c>
      <c r="G684" s="10">
        <v>43600</v>
      </c>
      <c r="H684" s="10">
        <v>43600</v>
      </c>
      <c r="I684" s="10"/>
      <c r="J684" s="10">
        <f t="shared" si="242"/>
        <v>43600</v>
      </c>
      <c r="K684" s="10">
        <v>45000</v>
      </c>
      <c r="L684" s="10">
        <v>45000</v>
      </c>
      <c r="M684" s="10">
        <v>45000</v>
      </c>
      <c r="N684" s="10">
        <v>45000</v>
      </c>
      <c r="O684" s="10"/>
      <c r="P684" s="10"/>
      <c r="Q684" s="10">
        <f t="shared" si="243"/>
        <v>0</v>
      </c>
      <c r="R684" s="11">
        <f t="shared" si="244"/>
        <v>0</v>
      </c>
    </row>
    <row r="685" spans="1:18" ht="12.75">
      <c r="A685" t="s">
        <v>551</v>
      </c>
      <c r="B685" t="s">
        <v>379</v>
      </c>
      <c r="C685" s="10">
        <v>11700</v>
      </c>
      <c r="D685" s="10">
        <v>11700</v>
      </c>
      <c r="E685" s="10"/>
      <c r="F685" s="10">
        <f t="shared" si="241"/>
        <v>11700</v>
      </c>
      <c r="G685" s="10">
        <v>11700</v>
      </c>
      <c r="H685" s="10">
        <v>11700</v>
      </c>
      <c r="I685" s="10"/>
      <c r="J685" s="10">
        <f t="shared" si="242"/>
        <v>11700</v>
      </c>
      <c r="K685" s="10">
        <v>14100</v>
      </c>
      <c r="L685" s="10">
        <v>14300</v>
      </c>
      <c r="M685" s="10">
        <v>14300</v>
      </c>
      <c r="N685" s="10">
        <v>14300</v>
      </c>
      <c r="O685" s="10"/>
      <c r="P685" s="10"/>
      <c r="Q685" s="10">
        <f t="shared" si="243"/>
        <v>0</v>
      </c>
      <c r="R685" s="11">
        <f t="shared" si="244"/>
        <v>0</v>
      </c>
    </row>
    <row r="686" spans="2:18" ht="12.75">
      <c r="B686" t="s">
        <v>39</v>
      </c>
      <c r="C686" s="10">
        <v>4600</v>
      </c>
      <c r="D686" s="10">
        <v>4600</v>
      </c>
      <c r="E686" s="10"/>
      <c r="F686" s="10">
        <f t="shared" si="241"/>
        <v>4600</v>
      </c>
      <c r="G686" s="10">
        <v>5900</v>
      </c>
      <c r="H686" s="10">
        <v>5900</v>
      </c>
      <c r="I686" s="10"/>
      <c r="J686" s="10">
        <f t="shared" si="242"/>
        <v>5900</v>
      </c>
      <c r="K686" s="10">
        <v>7200</v>
      </c>
      <c r="L686" s="10">
        <v>7200</v>
      </c>
      <c r="M686" s="10">
        <v>7900</v>
      </c>
      <c r="N686" s="10">
        <v>7900</v>
      </c>
      <c r="O686" s="10"/>
      <c r="P686" s="10"/>
      <c r="Q686" s="10">
        <f t="shared" si="243"/>
        <v>700</v>
      </c>
      <c r="R686" s="11">
        <f t="shared" si="244"/>
        <v>0.09722222222222222</v>
      </c>
    </row>
    <row r="687" spans="2:18" ht="12.75">
      <c r="B687" t="s">
        <v>380</v>
      </c>
      <c r="C687" s="10">
        <v>4000</v>
      </c>
      <c r="D687" s="10">
        <v>4000</v>
      </c>
      <c r="E687" s="10"/>
      <c r="F687" s="10">
        <f t="shared" si="241"/>
        <v>4000</v>
      </c>
      <c r="G687" s="10">
        <v>4000</v>
      </c>
      <c r="H687" s="10">
        <v>4000</v>
      </c>
      <c r="I687" s="10"/>
      <c r="J687" s="10">
        <f t="shared" si="242"/>
        <v>4000</v>
      </c>
      <c r="K687" s="10">
        <v>4800</v>
      </c>
      <c r="L687" s="10">
        <v>4800</v>
      </c>
      <c r="M687" s="10">
        <v>4800</v>
      </c>
      <c r="N687" s="10">
        <v>4800</v>
      </c>
      <c r="O687" s="10"/>
      <c r="P687" s="10"/>
      <c r="Q687" s="10">
        <f t="shared" si="243"/>
        <v>0</v>
      </c>
      <c r="R687" s="11">
        <f t="shared" si="244"/>
        <v>0</v>
      </c>
    </row>
    <row r="688" spans="1:18" ht="12.75">
      <c r="A688" t="s">
        <v>552</v>
      </c>
      <c r="B688" t="s">
        <v>553</v>
      </c>
      <c r="C688" s="10"/>
      <c r="D688" s="10"/>
      <c r="E688" s="10"/>
      <c r="F688" s="10">
        <f t="shared" si="241"/>
        <v>0</v>
      </c>
      <c r="G688" s="10"/>
      <c r="H688" s="10"/>
      <c r="I688" s="10"/>
      <c r="J688" s="10">
        <f t="shared" si="242"/>
        <v>0</v>
      </c>
      <c r="K688" s="10"/>
      <c r="L688" s="10"/>
      <c r="M688" s="10"/>
      <c r="N688" s="10"/>
      <c r="O688" s="10"/>
      <c r="P688" s="10"/>
      <c r="Q688" s="10">
        <f t="shared" si="243"/>
        <v>0</v>
      </c>
      <c r="R688" s="11" t="e">
        <f t="shared" si="244"/>
        <v>#DIV/0!</v>
      </c>
    </row>
    <row r="689" spans="2:18" ht="12.75">
      <c r="B689" s="8" t="s">
        <v>20</v>
      </c>
      <c r="C689" s="12">
        <f aca="true" t="shared" si="245" ref="C689:J689">SUM(C677:C688)</f>
        <v>295506</v>
      </c>
      <c r="D689" s="12">
        <f t="shared" si="245"/>
        <v>303506</v>
      </c>
      <c r="E689" s="12">
        <f t="shared" si="245"/>
        <v>0</v>
      </c>
      <c r="F689" s="12">
        <f t="shared" si="245"/>
        <v>303506</v>
      </c>
      <c r="G689" s="12">
        <f t="shared" si="245"/>
        <v>296851</v>
      </c>
      <c r="H689" s="12">
        <f t="shared" si="245"/>
        <v>296851</v>
      </c>
      <c r="I689" s="12">
        <f t="shared" si="245"/>
        <v>0</v>
      </c>
      <c r="J689" s="12">
        <f t="shared" si="245"/>
        <v>296851</v>
      </c>
      <c r="K689" s="12">
        <f>SUM(K677:K688)</f>
        <v>317549</v>
      </c>
      <c r="L689" s="12">
        <f>SUM(L677:L688)</f>
        <v>304490</v>
      </c>
      <c r="M689" s="12">
        <f>SUM(M677:M688)</f>
        <v>305190</v>
      </c>
      <c r="N689" s="12">
        <f>SUM(N677:N688)</f>
        <v>305190</v>
      </c>
      <c r="O689" s="12"/>
      <c r="P689" s="12"/>
      <c r="Q689" s="12">
        <f>SUM(Q677:Q688)</f>
        <v>700</v>
      </c>
      <c r="R689" s="34">
        <f>Q689/L689</f>
        <v>0.0022989260731058492</v>
      </c>
    </row>
    <row r="690" spans="3:18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2.75">
      <c r="A691" t="s">
        <v>554</v>
      </c>
      <c r="B691" t="s">
        <v>555</v>
      </c>
      <c r="C691" s="10">
        <v>5300</v>
      </c>
      <c r="D691" s="10">
        <v>5300</v>
      </c>
      <c r="E691" s="10"/>
      <c r="F691" s="10">
        <f aca="true" t="shared" si="246" ref="F691:F708">D691+E691</f>
        <v>5300</v>
      </c>
      <c r="G691" s="10">
        <v>5300</v>
      </c>
      <c r="H691" s="10">
        <v>5300</v>
      </c>
      <c r="I691" s="10"/>
      <c r="J691" s="10">
        <f aca="true" t="shared" si="247" ref="J691:J708">H691+I691</f>
        <v>5300</v>
      </c>
      <c r="K691" s="10">
        <v>5000</v>
      </c>
      <c r="L691" s="10">
        <v>5000</v>
      </c>
      <c r="M691" s="10">
        <v>5000</v>
      </c>
      <c r="N691" s="10">
        <v>5000</v>
      </c>
      <c r="O691" s="10"/>
      <c r="P691" s="10"/>
      <c r="Q691" s="10">
        <f aca="true" t="shared" si="248" ref="Q691:Q708">N691-L691</f>
        <v>0</v>
      </c>
      <c r="R691" s="11">
        <f aca="true" t="shared" si="249" ref="R691:R708">Q691/L691</f>
        <v>0</v>
      </c>
    </row>
    <row r="692" spans="1:18" ht="12.75">
      <c r="A692" t="s">
        <v>556</v>
      </c>
      <c r="B692" t="s">
        <v>557</v>
      </c>
      <c r="C692" s="10">
        <v>15000</v>
      </c>
      <c r="D692" s="10">
        <v>15000</v>
      </c>
      <c r="E692" s="10"/>
      <c r="F692" s="10">
        <f t="shared" si="246"/>
        <v>15000</v>
      </c>
      <c r="G692" s="10">
        <v>10000</v>
      </c>
      <c r="H692" s="10">
        <v>10000</v>
      </c>
      <c r="I692" s="10"/>
      <c r="J692" s="10">
        <f t="shared" si="247"/>
        <v>10000</v>
      </c>
      <c r="K692" s="10">
        <v>10000</v>
      </c>
      <c r="L692" s="10">
        <v>10000</v>
      </c>
      <c r="M692" s="10">
        <v>10000</v>
      </c>
      <c r="N692" s="10">
        <v>10000</v>
      </c>
      <c r="O692" s="10"/>
      <c r="P692" s="10"/>
      <c r="Q692" s="10">
        <f t="shared" si="248"/>
        <v>0</v>
      </c>
      <c r="R692" s="11">
        <f t="shared" si="249"/>
        <v>0</v>
      </c>
    </row>
    <row r="693" spans="2:18" ht="12.75" hidden="1">
      <c r="B693" t="s">
        <v>558</v>
      </c>
      <c r="C693" s="10"/>
      <c r="D693" s="10"/>
      <c r="E693" s="10"/>
      <c r="F693" s="10">
        <f t="shared" si="246"/>
        <v>0</v>
      </c>
      <c r="G693" s="10"/>
      <c r="H693" s="10"/>
      <c r="I693" s="10"/>
      <c r="J693" s="10">
        <f t="shared" si="247"/>
        <v>0</v>
      </c>
      <c r="K693" s="10"/>
      <c r="L693" s="10"/>
      <c r="M693" s="10"/>
      <c r="N693" s="10"/>
      <c r="O693" s="10"/>
      <c r="P693" s="10"/>
      <c r="Q693" s="10">
        <f t="shared" si="248"/>
        <v>0</v>
      </c>
      <c r="R693" s="11" t="e">
        <f t="shared" si="249"/>
        <v>#DIV/0!</v>
      </c>
    </row>
    <row r="694" spans="1:18" ht="12.75">
      <c r="A694" t="s">
        <v>559</v>
      </c>
      <c r="B694" t="s">
        <v>278</v>
      </c>
      <c r="C694" s="10">
        <f>308500-10000</f>
        <v>298500</v>
      </c>
      <c r="D694" s="10">
        <f>308500-10000</f>
        <v>298500</v>
      </c>
      <c r="E694" s="10"/>
      <c r="F694" s="10">
        <f t="shared" si="246"/>
        <v>298500</v>
      </c>
      <c r="G694" s="10">
        <v>280000</v>
      </c>
      <c r="H694" s="10">
        <v>280000</v>
      </c>
      <c r="I694" s="10"/>
      <c r="J694" s="10">
        <f t="shared" si="247"/>
        <v>280000</v>
      </c>
      <c r="K694" s="10">
        <f>4500+180000+62000</f>
        <v>246500</v>
      </c>
      <c r="L694" s="10">
        <v>196500</v>
      </c>
      <c r="M694" s="10">
        <v>196500</v>
      </c>
      <c r="N694" s="10">
        <v>196500</v>
      </c>
      <c r="O694" s="10"/>
      <c r="P694" s="10"/>
      <c r="Q694" s="10">
        <f t="shared" si="248"/>
        <v>0</v>
      </c>
      <c r="R694" s="11">
        <f t="shared" si="249"/>
        <v>0</v>
      </c>
    </row>
    <row r="695" spans="1:18" ht="12.75">
      <c r="A695" t="s">
        <v>560</v>
      </c>
      <c r="B695" t="s">
        <v>279</v>
      </c>
      <c r="C695" s="10">
        <v>11000</v>
      </c>
      <c r="D695" s="10">
        <v>11000</v>
      </c>
      <c r="E695" s="10"/>
      <c r="F695" s="10">
        <f t="shared" si="246"/>
        <v>11000</v>
      </c>
      <c r="G695" s="10">
        <v>6000</v>
      </c>
      <c r="H695" s="10">
        <v>6000</v>
      </c>
      <c r="I695" s="10"/>
      <c r="J695" s="10">
        <f t="shared" si="247"/>
        <v>6000</v>
      </c>
      <c r="K695" s="10">
        <v>6000</v>
      </c>
      <c r="L695" s="10">
        <v>5000</v>
      </c>
      <c r="M695" s="10">
        <v>5000</v>
      </c>
      <c r="N695" s="10">
        <v>5000</v>
      </c>
      <c r="O695" s="10"/>
      <c r="P695" s="10"/>
      <c r="Q695" s="10">
        <f t="shared" si="248"/>
        <v>0</v>
      </c>
      <c r="R695" s="11">
        <f t="shared" si="249"/>
        <v>0</v>
      </c>
    </row>
    <row r="696" spans="1:18" ht="12.75" hidden="1">
      <c r="A696" t="s">
        <v>561</v>
      </c>
      <c r="C696" s="10">
        <v>0</v>
      </c>
      <c r="D696" s="10">
        <v>0</v>
      </c>
      <c r="E696" s="10"/>
      <c r="F696" s="10">
        <f t="shared" si="246"/>
        <v>0</v>
      </c>
      <c r="G696" s="10"/>
      <c r="H696" s="10"/>
      <c r="I696" s="10"/>
      <c r="J696" s="10">
        <f t="shared" si="247"/>
        <v>0</v>
      </c>
      <c r="K696" s="10"/>
      <c r="L696" s="10"/>
      <c r="M696" s="10"/>
      <c r="N696" s="10"/>
      <c r="O696" s="10"/>
      <c r="P696" s="10"/>
      <c r="Q696" s="10">
        <f t="shared" si="248"/>
        <v>0</v>
      </c>
      <c r="R696" s="11" t="e">
        <f t="shared" si="249"/>
        <v>#DIV/0!</v>
      </c>
    </row>
    <row r="697" spans="1:18" ht="12.75">
      <c r="A697" t="s">
        <v>562</v>
      </c>
      <c r="B697" t="s">
        <v>50</v>
      </c>
      <c r="C697" s="10">
        <v>10620</v>
      </c>
      <c r="D697" s="10">
        <v>10620</v>
      </c>
      <c r="E697" s="10"/>
      <c r="F697" s="10">
        <f t="shared" si="246"/>
        <v>10620</v>
      </c>
      <c r="G697" s="10">
        <v>10600</v>
      </c>
      <c r="H697" s="10">
        <v>10600</v>
      </c>
      <c r="I697" s="10"/>
      <c r="J697" s="10">
        <f t="shared" si="247"/>
        <v>10600</v>
      </c>
      <c r="K697" s="10">
        <v>10500</v>
      </c>
      <c r="L697" s="10">
        <v>10500</v>
      </c>
      <c r="M697" s="10">
        <v>10500</v>
      </c>
      <c r="N697" s="10">
        <v>10500</v>
      </c>
      <c r="O697" s="10"/>
      <c r="P697" s="10"/>
      <c r="Q697" s="10">
        <f t="shared" si="248"/>
        <v>0</v>
      </c>
      <c r="R697" s="11">
        <f t="shared" si="249"/>
        <v>0</v>
      </c>
    </row>
    <row r="698" spans="1:18" ht="12.75">
      <c r="A698" t="s">
        <v>563</v>
      </c>
      <c r="B698" s="20" t="s">
        <v>282</v>
      </c>
      <c r="C698" s="10">
        <v>28700</v>
      </c>
      <c r="D698" s="10">
        <v>28700</v>
      </c>
      <c r="E698" s="10"/>
      <c r="F698" s="10">
        <f t="shared" si="246"/>
        <v>28700</v>
      </c>
      <c r="G698" s="10">
        <v>30000</v>
      </c>
      <c r="H698" s="10">
        <v>30000</v>
      </c>
      <c r="I698" s="10"/>
      <c r="J698" s="10">
        <f t="shared" si="247"/>
        <v>30000</v>
      </c>
      <c r="K698" s="10">
        <v>30000</v>
      </c>
      <c r="L698" s="10">
        <v>25000</v>
      </c>
      <c r="M698" s="10">
        <v>25000</v>
      </c>
      <c r="N698" s="10">
        <v>25000</v>
      </c>
      <c r="O698" s="10"/>
      <c r="P698" s="10"/>
      <c r="Q698" s="10">
        <f t="shared" si="248"/>
        <v>0</v>
      </c>
      <c r="R698" s="11">
        <f t="shared" si="249"/>
        <v>0</v>
      </c>
    </row>
    <row r="699" spans="1:18" ht="12.75">
      <c r="A699" t="s">
        <v>564</v>
      </c>
      <c r="B699" s="20" t="s">
        <v>565</v>
      </c>
      <c r="C699" s="10">
        <v>1000</v>
      </c>
      <c r="D699" s="10">
        <v>1000</v>
      </c>
      <c r="E699" s="10"/>
      <c r="F699" s="10">
        <f t="shared" si="246"/>
        <v>1000</v>
      </c>
      <c r="G699" s="10">
        <v>1000</v>
      </c>
      <c r="H699" s="10">
        <v>1000</v>
      </c>
      <c r="I699" s="10"/>
      <c r="J699" s="10">
        <f t="shared" si="247"/>
        <v>1000</v>
      </c>
      <c r="K699" s="10">
        <v>4500</v>
      </c>
      <c r="L699" s="10">
        <v>1000</v>
      </c>
      <c r="M699" s="10">
        <v>1000</v>
      </c>
      <c r="N699" s="10">
        <v>1000</v>
      </c>
      <c r="O699" s="10"/>
      <c r="P699" s="10"/>
      <c r="Q699" s="10">
        <f t="shared" si="248"/>
        <v>0</v>
      </c>
      <c r="R699" s="11">
        <f t="shared" si="249"/>
        <v>0</v>
      </c>
    </row>
    <row r="700" spans="1:18" ht="12.75">
      <c r="A700" t="s">
        <v>566</v>
      </c>
      <c r="B700" t="s">
        <v>411</v>
      </c>
      <c r="C700" s="10">
        <v>50000</v>
      </c>
      <c r="D700" s="10">
        <v>50000</v>
      </c>
      <c r="E700" s="10"/>
      <c r="F700" s="10">
        <f t="shared" si="246"/>
        <v>50000</v>
      </c>
      <c r="G700" s="10">
        <v>40000</v>
      </c>
      <c r="H700" s="10">
        <v>40000</v>
      </c>
      <c r="I700" s="10"/>
      <c r="J700" s="10">
        <f t="shared" si="247"/>
        <v>40000</v>
      </c>
      <c r="K700" s="10">
        <v>70000</v>
      </c>
      <c r="L700" s="10">
        <v>50000</v>
      </c>
      <c r="M700" s="10">
        <v>50000</v>
      </c>
      <c r="N700" s="10">
        <v>50000</v>
      </c>
      <c r="O700" s="10"/>
      <c r="P700" s="10"/>
      <c r="Q700" s="10">
        <f t="shared" si="248"/>
        <v>0</v>
      </c>
      <c r="R700" s="11">
        <f t="shared" si="249"/>
        <v>0</v>
      </c>
    </row>
    <row r="701" spans="1:18" ht="12.75">
      <c r="A701" t="s">
        <v>567</v>
      </c>
      <c r="B701" t="s">
        <v>568</v>
      </c>
      <c r="C701" s="10">
        <v>6500</v>
      </c>
      <c r="D701" s="10">
        <v>6500</v>
      </c>
      <c r="E701" s="10"/>
      <c r="F701" s="10">
        <f t="shared" si="246"/>
        <v>6500</v>
      </c>
      <c r="G701" s="10">
        <v>6500</v>
      </c>
      <c r="H701" s="10">
        <v>6500</v>
      </c>
      <c r="I701" s="10"/>
      <c r="J701" s="10">
        <f t="shared" si="247"/>
        <v>6500</v>
      </c>
      <c r="K701" s="10">
        <v>3500</v>
      </c>
      <c r="L701" s="10">
        <v>6500</v>
      </c>
      <c r="M701" s="10">
        <v>6500</v>
      </c>
      <c r="N701" s="10">
        <v>6500</v>
      </c>
      <c r="O701" s="10"/>
      <c r="P701" s="10"/>
      <c r="Q701" s="10">
        <f t="shared" si="248"/>
        <v>0</v>
      </c>
      <c r="R701" s="11">
        <f t="shared" si="249"/>
        <v>0</v>
      </c>
    </row>
    <row r="702" spans="1:18" ht="12.75">
      <c r="A702" t="s">
        <v>569</v>
      </c>
      <c r="B702" t="s">
        <v>570</v>
      </c>
      <c r="C702" s="10">
        <v>5788</v>
      </c>
      <c r="D702" s="10">
        <v>5788</v>
      </c>
      <c r="E702" s="10"/>
      <c r="F702" s="10">
        <f t="shared" si="246"/>
        <v>5788</v>
      </c>
      <c r="G702" s="10">
        <v>6000</v>
      </c>
      <c r="H702" s="10">
        <v>6000</v>
      </c>
      <c r="I702" s="10"/>
      <c r="J702" s="10">
        <f t="shared" si="247"/>
        <v>6000</v>
      </c>
      <c r="K702" s="10">
        <v>6000</v>
      </c>
      <c r="L702" s="10">
        <v>6000</v>
      </c>
      <c r="M702" s="10">
        <v>6000</v>
      </c>
      <c r="N702" s="10">
        <v>6000</v>
      </c>
      <c r="O702" s="10"/>
      <c r="P702" s="10"/>
      <c r="Q702" s="10">
        <f t="shared" si="248"/>
        <v>0</v>
      </c>
      <c r="R702" s="11">
        <f t="shared" si="249"/>
        <v>0</v>
      </c>
    </row>
    <row r="703" spans="2:18" ht="12.75">
      <c r="B703" t="s">
        <v>571</v>
      </c>
      <c r="C703" s="10"/>
      <c r="D703" s="10"/>
      <c r="E703" s="10"/>
      <c r="F703" s="10">
        <f t="shared" si="246"/>
        <v>0</v>
      </c>
      <c r="G703" s="31">
        <v>20000</v>
      </c>
      <c r="H703" s="31">
        <v>20000</v>
      </c>
      <c r="I703" s="31"/>
      <c r="J703" s="10">
        <f t="shared" si="247"/>
        <v>20000</v>
      </c>
      <c r="K703" s="31"/>
      <c r="L703" s="31"/>
      <c r="M703" s="31"/>
      <c r="N703" s="31"/>
      <c r="O703" s="31"/>
      <c r="P703" s="31"/>
      <c r="Q703" s="10">
        <f t="shared" si="248"/>
        <v>0</v>
      </c>
      <c r="R703" s="11" t="e">
        <f t="shared" si="249"/>
        <v>#DIV/0!</v>
      </c>
    </row>
    <row r="704" spans="2:18" ht="12.75">
      <c r="B704" s="20" t="s">
        <v>572</v>
      </c>
      <c r="C704" s="10"/>
      <c r="D704" s="10"/>
      <c r="E704" s="10"/>
      <c r="F704" s="10"/>
      <c r="G704" s="31"/>
      <c r="H704" s="31"/>
      <c r="I704" s="31"/>
      <c r="J704" s="10"/>
      <c r="K704" s="31">
        <v>50000</v>
      </c>
      <c r="L704" s="31">
        <v>0</v>
      </c>
      <c r="M704" s="31"/>
      <c r="N704" s="31"/>
      <c r="O704" s="31"/>
      <c r="P704" s="31"/>
      <c r="Q704" s="10">
        <f t="shared" si="248"/>
        <v>0</v>
      </c>
      <c r="R704" s="11" t="e">
        <f t="shared" si="249"/>
        <v>#DIV/0!</v>
      </c>
    </row>
    <row r="705" spans="2:18" ht="12.75">
      <c r="B705" t="s">
        <v>573</v>
      </c>
      <c r="C705" s="10"/>
      <c r="D705" s="10"/>
      <c r="E705" s="10"/>
      <c r="F705" s="10">
        <f t="shared" si="246"/>
        <v>0</v>
      </c>
      <c r="G705" s="10"/>
      <c r="H705" s="10"/>
      <c r="I705" s="10"/>
      <c r="J705" s="10">
        <f t="shared" si="247"/>
        <v>0</v>
      </c>
      <c r="K705" s="10">
        <v>65000</v>
      </c>
      <c r="L705" s="10">
        <v>0</v>
      </c>
      <c r="M705" s="10">
        <v>0</v>
      </c>
      <c r="N705" s="10">
        <v>0</v>
      </c>
      <c r="O705" s="10"/>
      <c r="P705" s="10"/>
      <c r="Q705" s="10">
        <f t="shared" si="248"/>
        <v>0</v>
      </c>
      <c r="R705" s="11" t="e">
        <f t="shared" si="249"/>
        <v>#DIV/0!</v>
      </c>
    </row>
    <row r="706" spans="2:18" ht="12.75">
      <c r="B706" t="s">
        <v>574</v>
      </c>
      <c r="C706" s="10"/>
      <c r="D706" s="10"/>
      <c r="E706" s="10"/>
      <c r="F706" s="10">
        <f t="shared" si="246"/>
        <v>0</v>
      </c>
      <c r="G706" s="10">
        <v>15000</v>
      </c>
      <c r="H706" s="10">
        <v>15000</v>
      </c>
      <c r="I706" s="10"/>
      <c r="J706" s="10">
        <f t="shared" si="247"/>
        <v>15000</v>
      </c>
      <c r="K706" s="10"/>
      <c r="L706" s="10"/>
      <c r="M706" s="10">
        <v>15000</v>
      </c>
      <c r="N706" s="10">
        <v>15000</v>
      </c>
      <c r="O706" s="10"/>
      <c r="P706" s="10"/>
      <c r="Q706" s="10">
        <f t="shared" si="248"/>
        <v>15000</v>
      </c>
      <c r="R706" s="11" t="e">
        <f t="shared" si="249"/>
        <v>#DIV/0!</v>
      </c>
    </row>
    <row r="707" spans="2:18" ht="12.75">
      <c r="B707" t="s">
        <v>575</v>
      </c>
      <c r="C707" s="10"/>
      <c r="D707" s="10"/>
      <c r="E707" s="10"/>
      <c r="F707" s="10">
        <f t="shared" si="246"/>
        <v>0</v>
      </c>
      <c r="G707" s="10">
        <v>15000</v>
      </c>
      <c r="H707" s="10">
        <v>15000</v>
      </c>
      <c r="I707" s="10"/>
      <c r="J707" s="10">
        <f t="shared" si="247"/>
        <v>15000</v>
      </c>
      <c r="K707" s="10"/>
      <c r="L707" s="10"/>
      <c r="M707" s="10"/>
      <c r="N707" s="10"/>
      <c r="O707" s="10"/>
      <c r="P707" s="10"/>
      <c r="Q707" s="10">
        <f t="shared" si="248"/>
        <v>0</v>
      </c>
      <c r="R707" s="11" t="e">
        <f t="shared" si="249"/>
        <v>#DIV/0!</v>
      </c>
    </row>
    <row r="708" spans="1:18" ht="12.75">
      <c r="A708" t="s">
        <v>576</v>
      </c>
      <c r="B708" t="s">
        <v>577</v>
      </c>
      <c r="C708" s="10">
        <v>25000</v>
      </c>
      <c r="D708" s="10">
        <v>25000</v>
      </c>
      <c r="E708" s="10"/>
      <c r="F708" s="10">
        <f t="shared" si="246"/>
        <v>25000</v>
      </c>
      <c r="G708" s="10">
        <v>25000</v>
      </c>
      <c r="H708" s="10">
        <v>25000</v>
      </c>
      <c r="I708" s="10"/>
      <c r="J708" s="10">
        <f t="shared" si="247"/>
        <v>25000</v>
      </c>
      <c r="K708" s="10">
        <v>30000</v>
      </c>
      <c r="L708" s="10">
        <v>30000</v>
      </c>
      <c r="M708" s="10">
        <v>30000</v>
      </c>
      <c r="N708" s="10">
        <v>30000</v>
      </c>
      <c r="O708" s="10"/>
      <c r="P708" s="10"/>
      <c r="Q708" s="10">
        <f t="shared" si="248"/>
        <v>0</v>
      </c>
      <c r="R708" s="11">
        <f t="shared" si="249"/>
        <v>0</v>
      </c>
    </row>
    <row r="709" spans="2:18" ht="12.75">
      <c r="B709" s="8" t="s">
        <v>486</v>
      </c>
      <c r="C709" s="12">
        <f aca="true" t="shared" si="250" ref="C709:J709">SUM(C691:C708)</f>
        <v>457408</v>
      </c>
      <c r="D709" s="12">
        <f t="shared" si="250"/>
        <v>457408</v>
      </c>
      <c r="E709" s="12">
        <f t="shared" si="250"/>
        <v>0</v>
      </c>
      <c r="F709" s="12">
        <f t="shared" si="250"/>
        <v>457408</v>
      </c>
      <c r="G709" s="12">
        <f t="shared" si="250"/>
        <v>470400</v>
      </c>
      <c r="H709" s="12">
        <f t="shared" si="250"/>
        <v>470400</v>
      </c>
      <c r="I709" s="12">
        <f t="shared" si="250"/>
        <v>0</v>
      </c>
      <c r="J709" s="12">
        <f t="shared" si="250"/>
        <v>470400</v>
      </c>
      <c r="K709" s="12">
        <f>SUM(K691:K708)</f>
        <v>537000</v>
      </c>
      <c r="L709" s="12">
        <f>SUM(L691:L708)</f>
        <v>345500</v>
      </c>
      <c r="M709" s="12">
        <f>SUM(M691:M708)</f>
        <v>360500</v>
      </c>
      <c r="N709" s="12">
        <f>SUM(N691:N708)</f>
        <v>360500</v>
      </c>
      <c r="O709" s="12"/>
      <c r="P709" s="12"/>
      <c r="Q709" s="12">
        <f>SUM(Q691:Q708)</f>
        <v>15000</v>
      </c>
      <c r="R709" s="34">
        <f>Q709/L709</f>
        <v>0.04341534008683068</v>
      </c>
    </row>
    <row r="710" spans="3:18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2.75">
      <c r="A711" t="s">
        <v>578</v>
      </c>
      <c r="B711" t="s">
        <v>336</v>
      </c>
      <c r="C711" s="10">
        <v>4000</v>
      </c>
      <c r="D711" s="10">
        <v>4000</v>
      </c>
      <c r="E711" s="10"/>
      <c r="F711" s="10">
        <f aca="true" t="shared" si="251" ref="F711:F718">D711+E711</f>
        <v>4000</v>
      </c>
      <c r="G711" s="10">
        <v>6000</v>
      </c>
      <c r="H711" s="10">
        <v>6000</v>
      </c>
      <c r="I711" s="10"/>
      <c r="J711" s="10">
        <f aca="true" t="shared" si="252" ref="J711:J718">H711+I711</f>
        <v>6000</v>
      </c>
      <c r="K711" s="10">
        <v>6000</v>
      </c>
      <c r="L711" s="10">
        <v>5975</v>
      </c>
      <c r="M711" s="10">
        <v>5975</v>
      </c>
      <c r="N711" s="10">
        <v>5975</v>
      </c>
      <c r="O711" s="10"/>
      <c r="P711" s="10"/>
      <c r="Q711" s="10">
        <f aca="true" t="shared" si="253" ref="Q711:Q718">N711-L711</f>
        <v>0</v>
      </c>
      <c r="R711" s="11">
        <f aca="true" t="shared" si="254" ref="R711:R718">Q711/L711</f>
        <v>0</v>
      </c>
    </row>
    <row r="712" spans="1:18" ht="12.75">
      <c r="A712" t="s">
        <v>579</v>
      </c>
      <c r="B712" t="s">
        <v>580</v>
      </c>
      <c r="C712" s="10">
        <v>19000</v>
      </c>
      <c r="D712" s="10">
        <v>19000</v>
      </c>
      <c r="E712" s="10"/>
      <c r="F712" s="10">
        <f t="shared" si="251"/>
        <v>19000</v>
      </c>
      <c r="G712" s="10">
        <v>20000</v>
      </c>
      <c r="H712" s="10">
        <v>20000</v>
      </c>
      <c r="I712" s="10"/>
      <c r="J712" s="10">
        <f t="shared" si="252"/>
        <v>20000</v>
      </c>
      <c r="K712" s="10">
        <v>20000</v>
      </c>
      <c r="L712" s="10">
        <v>20000</v>
      </c>
      <c r="M712" s="10">
        <v>20000</v>
      </c>
      <c r="N712" s="10">
        <v>20000</v>
      </c>
      <c r="O712" s="10"/>
      <c r="P712" s="10"/>
      <c r="Q712" s="10">
        <f t="shared" si="253"/>
        <v>0</v>
      </c>
      <c r="R712" s="11">
        <f t="shared" si="254"/>
        <v>0</v>
      </c>
    </row>
    <row r="713" spans="1:18" ht="12.75">
      <c r="A713" t="s">
        <v>581</v>
      </c>
      <c r="B713" t="s">
        <v>107</v>
      </c>
      <c r="C713" s="10">
        <v>5000</v>
      </c>
      <c r="D713" s="10">
        <v>5000</v>
      </c>
      <c r="E713" s="10"/>
      <c r="F713" s="10">
        <f t="shared" si="251"/>
        <v>5000</v>
      </c>
      <c r="G713" s="10">
        <v>6000</v>
      </c>
      <c r="H713" s="10">
        <v>6000</v>
      </c>
      <c r="I713" s="10"/>
      <c r="J713" s="10">
        <f t="shared" si="252"/>
        <v>6000</v>
      </c>
      <c r="K713" s="10">
        <v>8000</v>
      </c>
      <c r="L713" s="10">
        <v>8000</v>
      </c>
      <c r="M713" s="10">
        <v>8000</v>
      </c>
      <c r="N713" s="10">
        <v>8000</v>
      </c>
      <c r="O713" s="10"/>
      <c r="P713" s="10"/>
      <c r="Q713" s="10">
        <f t="shared" si="253"/>
        <v>0</v>
      </c>
      <c r="R713" s="11">
        <f t="shared" si="254"/>
        <v>0</v>
      </c>
    </row>
    <row r="714" spans="1:18" ht="12.75">
      <c r="A714" t="s">
        <v>582</v>
      </c>
      <c r="B714" t="s">
        <v>583</v>
      </c>
      <c r="C714" s="10">
        <v>3800</v>
      </c>
      <c r="D714" s="10">
        <v>3800</v>
      </c>
      <c r="E714" s="10"/>
      <c r="F714" s="10">
        <f t="shared" si="251"/>
        <v>3800</v>
      </c>
      <c r="G714" s="31">
        <v>15000</v>
      </c>
      <c r="H714" s="31">
        <v>15000</v>
      </c>
      <c r="I714" s="31"/>
      <c r="J714" s="10">
        <f t="shared" si="252"/>
        <v>15000</v>
      </c>
      <c r="K714" s="31">
        <v>15000</v>
      </c>
      <c r="L714" s="31">
        <v>15000</v>
      </c>
      <c r="M714" s="31">
        <v>15000</v>
      </c>
      <c r="N714" s="31">
        <v>15000</v>
      </c>
      <c r="O714" s="31"/>
      <c r="P714" s="31"/>
      <c r="Q714" s="10">
        <f t="shared" si="253"/>
        <v>0</v>
      </c>
      <c r="R714" s="11">
        <f t="shared" si="254"/>
        <v>0</v>
      </c>
    </row>
    <row r="715" spans="1:18" ht="12.75">
      <c r="A715" t="s">
        <v>584</v>
      </c>
      <c r="B715" t="s">
        <v>585</v>
      </c>
      <c r="C715" s="10">
        <v>9260</v>
      </c>
      <c r="D715" s="10">
        <v>9260</v>
      </c>
      <c r="E715" s="10"/>
      <c r="F715" s="10">
        <f t="shared" si="251"/>
        <v>9260</v>
      </c>
      <c r="G715" s="10">
        <v>9500</v>
      </c>
      <c r="H715" s="10">
        <v>9500</v>
      </c>
      <c r="I715" s="10"/>
      <c r="J715" s="10">
        <f t="shared" si="252"/>
        <v>9500</v>
      </c>
      <c r="K715" s="10">
        <v>9300</v>
      </c>
      <c r="L715" s="10">
        <v>9300</v>
      </c>
      <c r="M715" s="10">
        <v>9300</v>
      </c>
      <c r="N715" s="10">
        <v>9300</v>
      </c>
      <c r="O715" s="10"/>
      <c r="P715" s="10"/>
      <c r="Q715" s="10">
        <f t="shared" si="253"/>
        <v>0</v>
      </c>
      <c r="R715" s="11">
        <f t="shared" si="254"/>
        <v>0</v>
      </c>
    </row>
    <row r="716" spans="1:18" ht="12.75">
      <c r="A716" t="s">
        <v>586</v>
      </c>
      <c r="B716" t="s">
        <v>587</v>
      </c>
      <c r="C716" s="10">
        <v>8000</v>
      </c>
      <c r="D716" s="10">
        <v>8000</v>
      </c>
      <c r="E716" s="10"/>
      <c r="F716" s="10">
        <f t="shared" si="251"/>
        <v>8000</v>
      </c>
      <c r="G716" s="10">
        <v>8000</v>
      </c>
      <c r="H716" s="10">
        <v>8000</v>
      </c>
      <c r="I716" s="10"/>
      <c r="J716" s="10">
        <f t="shared" si="252"/>
        <v>8000</v>
      </c>
      <c r="K716" s="10">
        <v>8000</v>
      </c>
      <c r="L716" s="10">
        <v>8000</v>
      </c>
      <c r="M716" s="10">
        <v>8000</v>
      </c>
      <c r="N716" s="10">
        <v>8000</v>
      </c>
      <c r="O716" s="10"/>
      <c r="P716" s="10"/>
      <c r="Q716" s="10">
        <f t="shared" si="253"/>
        <v>0</v>
      </c>
      <c r="R716" s="11">
        <f t="shared" si="254"/>
        <v>0</v>
      </c>
    </row>
    <row r="717" spans="1:18" ht="12.75">
      <c r="A717" t="s">
        <v>588</v>
      </c>
      <c r="B717" t="s">
        <v>589</v>
      </c>
      <c r="C717" s="10">
        <v>1308</v>
      </c>
      <c r="D717" s="10">
        <v>1308</v>
      </c>
      <c r="E717" s="10"/>
      <c r="F717" s="10">
        <f t="shared" si="251"/>
        <v>1308</v>
      </c>
      <c r="G717" s="10">
        <v>1300</v>
      </c>
      <c r="H717" s="10">
        <v>1300</v>
      </c>
      <c r="I717" s="10"/>
      <c r="J717" s="10">
        <f t="shared" si="252"/>
        <v>1300</v>
      </c>
      <c r="K717" s="10">
        <v>3000</v>
      </c>
      <c r="L717" s="10">
        <v>1500</v>
      </c>
      <c r="M717" s="10">
        <v>1500</v>
      </c>
      <c r="N717" s="10">
        <v>1500</v>
      </c>
      <c r="O717" s="10"/>
      <c r="P717" s="10"/>
      <c r="Q717" s="10">
        <f t="shared" si="253"/>
        <v>0</v>
      </c>
      <c r="R717" s="11">
        <f t="shared" si="254"/>
        <v>0</v>
      </c>
    </row>
    <row r="718" spans="1:18" ht="12.75">
      <c r="A718" t="s">
        <v>590</v>
      </c>
      <c r="B718" t="s">
        <v>402</v>
      </c>
      <c r="C718" s="10">
        <v>8200</v>
      </c>
      <c r="D718" s="10">
        <v>8200</v>
      </c>
      <c r="E718" s="10"/>
      <c r="F718" s="10">
        <f t="shared" si="251"/>
        <v>8200</v>
      </c>
      <c r="G718" s="10">
        <v>0</v>
      </c>
      <c r="H718" s="10">
        <v>0</v>
      </c>
      <c r="I718" s="10"/>
      <c r="J718" s="10">
        <f t="shared" si="252"/>
        <v>0</v>
      </c>
      <c r="K718" s="10">
        <v>0</v>
      </c>
      <c r="L718" s="10">
        <v>0</v>
      </c>
      <c r="M718" s="10"/>
      <c r="N718" s="10"/>
      <c r="O718" s="10"/>
      <c r="P718" s="10"/>
      <c r="Q718" s="10">
        <f t="shared" si="253"/>
        <v>0</v>
      </c>
      <c r="R718" s="11" t="e">
        <f t="shared" si="254"/>
        <v>#DIV/0!</v>
      </c>
    </row>
    <row r="719" spans="2:18" ht="12.75">
      <c r="B719" s="8" t="s">
        <v>53</v>
      </c>
      <c r="C719" s="12">
        <f aca="true" t="shared" si="255" ref="C719:J719">SUM(C711:C718)</f>
        <v>58568</v>
      </c>
      <c r="D719" s="12">
        <f t="shared" si="255"/>
        <v>58568</v>
      </c>
      <c r="E719" s="12">
        <f t="shared" si="255"/>
        <v>0</v>
      </c>
      <c r="F719" s="12">
        <f t="shared" si="255"/>
        <v>58568</v>
      </c>
      <c r="G719" s="12">
        <f t="shared" si="255"/>
        <v>65800</v>
      </c>
      <c r="H719" s="12">
        <f t="shared" si="255"/>
        <v>65800</v>
      </c>
      <c r="I719" s="12">
        <f t="shared" si="255"/>
        <v>0</v>
      </c>
      <c r="J719" s="12">
        <f t="shared" si="255"/>
        <v>65800</v>
      </c>
      <c r="K719" s="12">
        <f>SUM(K711:K718)</f>
        <v>69300</v>
      </c>
      <c r="L719" s="12">
        <f>SUM(L711:L718)</f>
        <v>67775</v>
      </c>
      <c r="M719" s="12">
        <f>SUM(M711:M718)</f>
        <v>67775</v>
      </c>
      <c r="N719" s="12">
        <f>SUM(N711:N718)</f>
        <v>67775</v>
      </c>
      <c r="O719" s="12"/>
      <c r="P719" s="12"/>
      <c r="Q719" s="12">
        <f>SUM(Q711:Q718)</f>
        <v>0</v>
      </c>
      <c r="R719" s="34">
        <f>Q719/L719</f>
        <v>0</v>
      </c>
    </row>
    <row r="720" spans="3:18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2.75">
      <c r="A721" t="s">
        <v>591</v>
      </c>
      <c r="B721" t="s">
        <v>592</v>
      </c>
      <c r="C721" s="10">
        <v>2000</v>
      </c>
      <c r="D721" s="10">
        <v>2000</v>
      </c>
      <c r="E721" s="10"/>
      <c r="F721" s="10">
        <f aca="true" t="shared" si="256" ref="F721:F728">D721+E721</f>
        <v>2000</v>
      </c>
      <c r="G721" s="10">
        <v>1500</v>
      </c>
      <c r="H721" s="10">
        <v>1500</v>
      </c>
      <c r="I721" s="10"/>
      <c r="J721" s="10">
        <f aca="true" t="shared" si="257" ref="J721:J728">H721+I721</f>
        <v>1500</v>
      </c>
      <c r="K721" s="10">
        <v>2000</v>
      </c>
      <c r="L721" s="10">
        <v>1000</v>
      </c>
      <c r="M721" s="10">
        <v>1000</v>
      </c>
      <c r="N721" s="10">
        <v>1000</v>
      </c>
      <c r="O721" s="10"/>
      <c r="P721" s="10"/>
      <c r="Q721" s="10">
        <f aca="true" t="shared" si="258" ref="Q721:Q728">N721-L721</f>
        <v>0</v>
      </c>
      <c r="R721" s="11">
        <f aca="true" t="shared" si="259" ref="R721:R728">Q721/L721</f>
        <v>0</v>
      </c>
    </row>
    <row r="722" spans="2:18" ht="12.75">
      <c r="B722" t="s">
        <v>593</v>
      </c>
      <c r="C722" s="10">
        <f>10200+34500</f>
        <v>44700</v>
      </c>
      <c r="D722" s="10">
        <f>10200+34500</f>
        <v>44700</v>
      </c>
      <c r="E722" s="10"/>
      <c r="F722" s="10">
        <f t="shared" si="256"/>
        <v>44700</v>
      </c>
      <c r="G722" s="10"/>
      <c r="H722" s="10"/>
      <c r="I722" s="10"/>
      <c r="J722" s="10">
        <f t="shared" si="257"/>
        <v>0</v>
      </c>
      <c r="K722" s="10">
        <v>50000</v>
      </c>
      <c r="L722" s="10">
        <v>50000</v>
      </c>
      <c r="M722" s="10">
        <v>100000</v>
      </c>
      <c r="N722" s="10">
        <v>100000</v>
      </c>
      <c r="O722" s="10"/>
      <c r="P722" s="10"/>
      <c r="Q722" s="10">
        <f t="shared" si="258"/>
        <v>50000</v>
      </c>
      <c r="R722" s="11">
        <f t="shared" si="259"/>
        <v>1</v>
      </c>
    </row>
    <row r="723" spans="1:18" ht="12.75">
      <c r="A723" t="s">
        <v>594</v>
      </c>
      <c r="B723" t="s">
        <v>595</v>
      </c>
      <c r="C723" s="10">
        <v>368400</v>
      </c>
      <c r="D723" s="10">
        <v>368400</v>
      </c>
      <c r="E723" s="10"/>
      <c r="F723" s="10">
        <f t="shared" si="256"/>
        <v>368400</v>
      </c>
      <c r="G723" s="10">
        <v>564600</v>
      </c>
      <c r="H723" s="10">
        <v>564600</v>
      </c>
      <c r="I723" s="10"/>
      <c r="J723" s="10">
        <f t="shared" si="257"/>
        <v>564600</v>
      </c>
      <c r="K723" s="10">
        <v>546100</v>
      </c>
      <c r="L723" s="10">
        <v>546100</v>
      </c>
      <c r="M723" s="10">
        <v>551200</v>
      </c>
      <c r="N723" s="10">
        <v>551200</v>
      </c>
      <c r="O723" s="10"/>
      <c r="P723" s="10"/>
      <c r="Q723" s="10">
        <f t="shared" si="258"/>
        <v>5100</v>
      </c>
      <c r="R723" s="11">
        <f t="shared" si="259"/>
        <v>0.00933894891045596</v>
      </c>
    </row>
    <row r="724" spans="1:18" ht="12.75">
      <c r="A724" t="s">
        <v>596</v>
      </c>
      <c r="B724" t="s">
        <v>597</v>
      </c>
      <c r="C724" s="10">
        <f>102340+84150</f>
        <v>186490</v>
      </c>
      <c r="D724" s="10">
        <f>102340+84150</f>
        <v>186490</v>
      </c>
      <c r="E724" s="10"/>
      <c r="F724" s="10">
        <f t="shared" si="256"/>
        <v>186490</v>
      </c>
      <c r="G724" s="10">
        <v>227741</v>
      </c>
      <c r="H724" s="10">
        <v>227741</v>
      </c>
      <c r="I724" s="10"/>
      <c r="J724" s="10">
        <f t="shared" si="257"/>
        <v>227741</v>
      </c>
      <c r="K724" s="10">
        <v>228627</v>
      </c>
      <c r="L724" s="10">
        <v>228627</v>
      </c>
      <c r="M724" s="10">
        <v>189238</v>
      </c>
      <c r="N724" s="10">
        <v>189238</v>
      </c>
      <c r="O724" s="10"/>
      <c r="P724" s="10"/>
      <c r="Q724" s="10">
        <f t="shared" si="258"/>
        <v>-39389</v>
      </c>
      <c r="R724" s="11">
        <f t="shared" si="259"/>
        <v>-0.1722849882122409</v>
      </c>
    </row>
    <row r="725" spans="1:18" ht="12.75">
      <c r="A725" t="s">
        <v>598</v>
      </c>
      <c r="B725" t="s">
        <v>599</v>
      </c>
      <c r="C725" s="10">
        <v>8044</v>
      </c>
      <c r="D725" s="10">
        <v>8044</v>
      </c>
      <c r="E725" s="10"/>
      <c r="F725" s="10">
        <f t="shared" si="256"/>
        <v>8044</v>
      </c>
      <c r="G725" s="10">
        <v>9000</v>
      </c>
      <c r="H725" s="10">
        <v>9000</v>
      </c>
      <c r="I725" s="10"/>
      <c r="J725" s="10">
        <f t="shared" si="257"/>
        <v>9000</v>
      </c>
      <c r="K725" s="10">
        <v>9000</v>
      </c>
      <c r="L725" s="10">
        <v>9000</v>
      </c>
      <c r="M725" s="10">
        <v>9000</v>
      </c>
      <c r="N725" s="10">
        <v>9000</v>
      </c>
      <c r="O725" s="10"/>
      <c r="P725" s="10"/>
      <c r="Q725" s="10">
        <f t="shared" si="258"/>
        <v>0</v>
      </c>
      <c r="R725" s="11">
        <f t="shared" si="259"/>
        <v>0</v>
      </c>
    </row>
    <row r="726" spans="1:18" ht="12.75">
      <c r="A726" t="s">
        <v>600</v>
      </c>
      <c r="B726" t="s">
        <v>601</v>
      </c>
      <c r="C726" s="10">
        <v>150000</v>
      </c>
      <c r="D726" s="10">
        <v>150000</v>
      </c>
      <c r="E726" s="10"/>
      <c r="F726" s="10">
        <f t="shared" si="256"/>
        <v>150000</v>
      </c>
      <c r="G726" s="10">
        <v>150000</v>
      </c>
      <c r="H726" s="10">
        <v>150000</v>
      </c>
      <c r="I726" s="10"/>
      <c r="J726" s="10">
        <f t="shared" si="257"/>
        <v>150000</v>
      </c>
      <c r="K726" s="10">
        <v>115000</v>
      </c>
      <c r="L726" s="10">
        <v>98750</v>
      </c>
      <c r="M726" s="10">
        <v>50000</v>
      </c>
      <c r="N726" s="10">
        <v>50000</v>
      </c>
      <c r="O726" s="10"/>
      <c r="P726" s="10"/>
      <c r="Q726" s="10">
        <f t="shared" si="258"/>
        <v>-48750</v>
      </c>
      <c r="R726" s="11">
        <f t="shared" si="259"/>
        <v>-0.4936708860759494</v>
      </c>
    </row>
    <row r="727" spans="1:18" ht="12.75">
      <c r="A727" t="s">
        <v>602</v>
      </c>
      <c r="B727" t="s">
        <v>603</v>
      </c>
      <c r="C727" s="10">
        <v>75000</v>
      </c>
      <c r="D727" s="10">
        <v>85000</v>
      </c>
      <c r="E727" s="10"/>
      <c r="F727" s="10">
        <f t="shared" si="256"/>
        <v>85000</v>
      </c>
      <c r="G727" s="10">
        <v>85000</v>
      </c>
      <c r="H727" s="10">
        <v>85000</v>
      </c>
      <c r="I727" s="10"/>
      <c r="J727" s="10">
        <f t="shared" si="257"/>
        <v>85000</v>
      </c>
      <c r="K727" s="10">
        <v>50000</v>
      </c>
      <c r="L727" s="10">
        <v>50000</v>
      </c>
      <c r="M727" s="10">
        <v>30000</v>
      </c>
      <c r="N727" s="10">
        <v>30000</v>
      </c>
      <c r="O727" s="10"/>
      <c r="P727" s="10"/>
      <c r="Q727" s="10">
        <f t="shared" si="258"/>
        <v>-20000</v>
      </c>
      <c r="R727" s="11">
        <f t="shared" si="259"/>
        <v>-0.4</v>
      </c>
    </row>
    <row r="728" spans="2:18" ht="12.75">
      <c r="B728" t="s">
        <v>604</v>
      </c>
      <c r="C728" s="10">
        <v>3000</v>
      </c>
      <c r="D728" s="10">
        <v>3000</v>
      </c>
      <c r="E728" s="10"/>
      <c r="F728" s="10">
        <f t="shared" si="256"/>
        <v>3000</v>
      </c>
      <c r="G728" s="10">
        <v>3000</v>
      </c>
      <c r="H728" s="10">
        <v>3000</v>
      </c>
      <c r="I728" s="10"/>
      <c r="J728" s="10">
        <f t="shared" si="257"/>
        <v>3000</v>
      </c>
      <c r="K728" s="10">
        <v>3000</v>
      </c>
      <c r="L728" s="10">
        <v>3000</v>
      </c>
      <c r="M728" s="10">
        <v>3000</v>
      </c>
      <c r="N728" s="10">
        <v>3000</v>
      </c>
      <c r="O728" s="10"/>
      <c r="P728" s="10"/>
      <c r="Q728" s="10">
        <f t="shared" si="258"/>
        <v>0</v>
      </c>
      <c r="R728" s="11">
        <f t="shared" si="259"/>
        <v>0</v>
      </c>
    </row>
    <row r="729" spans="2:18" ht="12.75">
      <c r="B729" s="8" t="s">
        <v>27</v>
      </c>
      <c r="C729" s="12">
        <f aca="true" t="shared" si="260" ref="C729:J729">SUM(C721:C728)</f>
        <v>837634</v>
      </c>
      <c r="D729" s="12">
        <f t="shared" si="260"/>
        <v>847634</v>
      </c>
      <c r="E729" s="12">
        <f t="shared" si="260"/>
        <v>0</v>
      </c>
      <c r="F729" s="12">
        <f t="shared" si="260"/>
        <v>847634</v>
      </c>
      <c r="G729" s="12">
        <f t="shared" si="260"/>
        <v>1040841</v>
      </c>
      <c r="H729" s="12">
        <f t="shared" si="260"/>
        <v>1040841</v>
      </c>
      <c r="I729" s="12">
        <f t="shared" si="260"/>
        <v>0</v>
      </c>
      <c r="J729" s="12">
        <f t="shared" si="260"/>
        <v>1040841</v>
      </c>
      <c r="K729" s="12">
        <f>SUM(K721:K728)</f>
        <v>1003727</v>
      </c>
      <c r="L729" s="12">
        <f>SUM(L721:L728)</f>
        <v>986477</v>
      </c>
      <c r="M729" s="12">
        <f>SUM(M721:M728)</f>
        <v>933438</v>
      </c>
      <c r="N729" s="12">
        <f>SUM(N721:N728)</f>
        <v>933438</v>
      </c>
      <c r="O729" s="12"/>
      <c r="P729" s="12"/>
      <c r="Q729" s="12">
        <f>SUM(Q721:Q728)</f>
        <v>-53039</v>
      </c>
      <c r="R729" s="34">
        <f>Q729/L729</f>
        <v>-0.05376607868201692</v>
      </c>
    </row>
    <row r="730" spans="3:18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2.75">
      <c r="A731" t="s">
        <v>605</v>
      </c>
      <c r="B731" t="s">
        <v>606</v>
      </c>
      <c r="C731" s="10">
        <v>50000</v>
      </c>
      <c r="D731" s="10">
        <v>50000</v>
      </c>
      <c r="E731" s="10"/>
      <c r="F731" s="10">
        <f>D731+E731</f>
        <v>50000</v>
      </c>
      <c r="G731" s="10">
        <v>80000</v>
      </c>
      <c r="H731" s="10">
        <v>80000</v>
      </c>
      <c r="I731" s="10"/>
      <c r="J731" s="10">
        <f>H731+I731</f>
        <v>80000</v>
      </c>
      <c r="K731" s="10">
        <v>80000</v>
      </c>
      <c r="L731" s="10">
        <v>80000</v>
      </c>
      <c r="M731" s="10">
        <v>80000</v>
      </c>
      <c r="N731" s="10">
        <v>80000</v>
      </c>
      <c r="O731" s="10"/>
      <c r="P731" s="10"/>
      <c r="Q731" s="10">
        <f>N731-L731</f>
        <v>0</v>
      </c>
      <c r="R731" s="11">
        <f>Q731/L731</f>
        <v>0</v>
      </c>
    </row>
    <row r="732" spans="1:18" ht="12.75">
      <c r="A732" t="s">
        <v>607</v>
      </c>
      <c r="B732" t="s">
        <v>608</v>
      </c>
      <c r="C732" s="10">
        <v>150000</v>
      </c>
      <c r="D732" s="10">
        <v>150000</v>
      </c>
      <c r="E732" s="10"/>
      <c r="F732" s="10">
        <f>D732+E732</f>
        <v>150000</v>
      </c>
      <c r="G732" s="10"/>
      <c r="H732" s="10"/>
      <c r="I732" s="10"/>
      <c r="J732" s="10">
        <f>H732+I732</f>
        <v>0</v>
      </c>
      <c r="K732" s="10"/>
      <c r="L732" s="10"/>
      <c r="M732" s="10"/>
      <c r="N732" s="10"/>
      <c r="O732" s="10"/>
      <c r="P732" s="10"/>
      <c r="Q732" s="10">
        <f>N732-L732</f>
        <v>0</v>
      </c>
      <c r="R732" s="11" t="e">
        <f>Q732/L732</f>
        <v>#DIV/0!</v>
      </c>
    </row>
    <row r="733" spans="2:18" ht="12.75">
      <c r="B733" t="s">
        <v>609</v>
      </c>
      <c r="C733" s="10"/>
      <c r="D733" s="10"/>
      <c r="E733" s="10"/>
      <c r="F733" s="10">
        <f>D733+E733</f>
        <v>0</v>
      </c>
      <c r="G733" s="10"/>
      <c r="H733" s="10"/>
      <c r="I733" s="10"/>
      <c r="J733" s="10">
        <f>H733+I733</f>
        <v>0</v>
      </c>
      <c r="K733" s="10"/>
      <c r="L733" s="10"/>
      <c r="M733" s="10"/>
      <c r="N733" s="10"/>
      <c r="O733" s="10"/>
      <c r="P733" s="10"/>
      <c r="Q733" s="10">
        <f>N733-L733</f>
        <v>0</v>
      </c>
      <c r="R733" s="11" t="e">
        <f>Q733/L733</f>
        <v>#DIV/0!</v>
      </c>
    </row>
    <row r="734" spans="1:18" ht="12.75">
      <c r="A734" t="s">
        <v>610</v>
      </c>
      <c r="B734" t="s">
        <v>611</v>
      </c>
      <c r="F734" s="10">
        <f>D734+E734</f>
        <v>0</v>
      </c>
      <c r="J734" s="10">
        <f>H734+I734</f>
        <v>0</v>
      </c>
      <c r="K734" s="10">
        <v>130000</v>
      </c>
      <c r="L734" s="10">
        <v>105000</v>
      </c>
      <c r="M734" s="10"/>
      <c r="N734" s="10"/>
      <c r="O734" s="10"/>
      <c r="P734" s="10"/>
      <c r="Q734" s="10">
        <f>N734-L734</f>
        <v>-105000</v>
      </c>
      <c r="R734" s="11">
        <f>Q734/L734</f>
        <v>-1</v>
      </c>
    </row>
    <row r="735" spans="2:18" ht="12.75">
      <c r="B735" s="8" t="s">
        <v>67</v>
      </c>
      <c r="C735" s="12">
        <f aca="true" t="shared" si="261" ref="C735:J735">SUM(C731:C734)</f>
        <v>200000</v>
      </c>
      <c r="D735" s="12">
        <f t="shared" si="261"/>
        <v>200000</v>
      </c>
      <c r="E735" s="12">
        <f t="shared" si="261"/>
        <v>0</v>
      </c>
      <c r="F735" s="12">
        <f t="shared" si="261"/>
        <v>200000</v>
      </c>
      <c r="G735" s="12">
        <f t="shared" si="261"/>
        <v>80000</v>
      </c>
      <c r="H735" s="12">
        <f t="shared" si="261"/>
        <v>80000</v>
      </c>
      <c r="I735" s="12">
        <f t="shared" si="261"/>
        <v>0</v>
      </c>
      <c r="J735" s="12">
        <f t="shared" si="261"/>
        <v>80000</v>
      </c>
      <c r="K735" s="12">
        <f>SUM(K731:K734)</f>
        <v>210000</v>
      </c>
      <c r="L735" s="12">
        <f>SUM(L731:L734)</f>
        <v>185000</v>
      </c>
      <c r="M735" s="12">
        <f>SUM(M731:M734)</f>
        <v>80000</v>
      </c>
      <c r="N735" s="12">
        <f>SUM(N731:N734)</f>
        <v>80000</v>
      </c>
      <c r="O735" s="12"/>
      <c r="P735" s="12"/>
      <c r="Q735" s="12">
        <f>SUM(Q731:Q734)</f>
        <v>-105000</v>
      </c>
      <c r="R735" s="34">
        <f>Q735/L735</f>
        <v>-0.5675675675675675</v>
      </c>
    </row>
    <row r="736" spans="2:18" ht="12.75">
      <c r="B736" s="8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</row>
    <row r="737" spans="2:18" ht="12.75">
      <c r="B737" s="8" t="s">
        <v>612</v>
      </c>
      <c r="C737" s="10">
        <v>292943</v>
      </c>
      <c r="D737" s="10">
        <v>292943</v>
      </c>
      <c r="E737" s="10"/>
      <c r="F737" s="10">
        <f>D737+E737</f>
        <v>292943</v>
      </c>
      <c r="G737" s="10">
        <v>300101</v>
      </c>
      <c r="H737" s="10">
        <v>300101</v>
      </c>
      <c r="I737" s="10"/>
      <c r="J737" s="10">
        <f>H737+I737</f>
        <v>300101</v>
      </c>
      <c r="K737" s="10">
        <v>300101</v>
      </c>
      <c r="L737" s="10">
        <v>309104</v>
      </c>
      <c r="M737" s="10">
        <v>312717</v>
      </c>
      <c r="N737" s="10">
        <v>312717</v>
      </c>
      <c r="O737" s="10"/>
      <c r="P737" s="10"/>
      <c r="Q737" s="10">
        <f>N737-L737</f>
        <v>3613</v>
      </c>
      <c r="R737" s="11">
        <f>Q737/L737</f>
        <v>0.011688622599513433</v>
      </c>
    </row>
    <row r="738" spans="3:18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2:18" s="16" customFormat="1" ht="12.75">
      <c r="B739" s="46" t="s">
        <v>613</v>
      </c>
      <c r="C739" s="18">
        <f aca="true" t="shared" si="262" ref="C739:Q739">SUM(C689+C729+C719+C709+C735+C737)</f>
        <v>2142059</v>
      </c>
      <c r="D739" s="18">
        <f t="shared" si="262"/>
        <v>2160059</v>
      </c>
      <c r="E739" s="18">
        <f t="shared" si="262"/>
        <v>0</v>
      </c>
      <c r="F739" s="18">
        <f t="shared" si="262"/>
        <v>2160059</v>
      </c>
      <c r="G739" s="18">
        <f t="shared" si="262"/>
        <v>2253993</v>
      </c>
      <c r="H739" s="18">
        <f t="shared" si="262"/>
        <v>2253993</v>
      </c>
      <c r="I739" s="18">
        <f t="shared" si="262"/>
        <v>0</v>
      </c>
      <c r="J739" s="18">
        <f t="shared" si="262"/>
        <v>2253993</v>
      </c>
      <c r="K739" s="18">
        <f>SUM(K689+K729+K719+K709+K735+K737)</f>
        <v>2437677</v>
      </c>
      <c r="L739" s="18">
        <f>SUM(L689+L729+L719+L709+L735+L737)</f>
        <v>2198346</v>
      </c>
      <c r="M739" s="18">
        <f>SUM(M689+M729+M719+M709+M735+M737)</f>
        <v>2059620</v>
      </c>
      <c r="N739" s="18">
        <f>SUM(N689+N729+N719+N709+N735+N737)</f>
        <v>2059620</v>
      </c>
      <c r="O739" s="18"/>
      <c r="P739" s="18"/>
      <c r="Q739" s="18">
        <f t="shared" si="262"/>
        <v>-138726</v>
      </c>
      <c r="R739" s="19">
        <f>Q739/L739</f>
        <v>-0.06310471600012009</v>
      </c>
    </row>
    <row r="740" spans="2:18" ht="12.75">
      <c r="B740" s="27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2:18" ht="12.75">
      <c r="B741" s="27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3:17" ht="12.75">
      <c r="C742" s="1"/>
      <c r="D742" s="1"/>
      <c r="E742" s="1"/>
      <c r="F742" s="1" t="s">
        <v>0</v>
      </c>
      <c r="G742" s="1"/>
      <c r="H742" s="1"/>
      <c r="I742" s="1"/>
      <c r="J742" s="1" t="s">
        <v>0</v>
      </c>
      <c r="K742" s="1" t="s">
        <v>1</v>
      </c>
      <c r="L742" s="1" t="s">
        <v>2</v>
      </c>
      <c r="M742" s="1" t="s">
        <v>1</v>
      </c>
      <c r="N742" s="1" t="s">
        <v>2</v>
      </c>
      <c r="O742" s="1"/>
      <c r="P742" s="1"/>
      <c r="Q742" s="2"/>
    </row>
    <row r="743" spans="3:18" ht="12.75">
      <c r="C743" s="1" t="s">
        <v>1</v>
      </c>
      <c r="D743" s="1" t="s">
        <v>4</v>
      </c>
      <c r="E743" s="1" t="s">
        <v>5</v>
      </c>
      <c r="F743" s="1" t="s">
        <v>3</v>
      </c>
      <c r="G743" s="1" t="s">
        <v>5</v>
      </c>
      <c r="H743" s="1" t="s">
        <v>4</v>
      </c>
      <c r="I743" s="1" t="s">
        <v>5</v>
      </c>
      <c r="J743" s="1" t="s">
        <v>3</v>
      </c>
      <c r="K743" s="1" t="s">
        <v>5</v>
      </c>
      <c r="L743" s="1" t="s">
        <v>5</v>
      </c>
      <c r="M743" s="1" t="s">
        <v>5</v>
      </c>
      <c r="N743" s="1" t="s">
        <v>5</v>
      </c>
      <c r="O743" s="1"/>
      <c r="P743" s="1"/>
      <c r="Q743" s="1" t="s">
        <v>6</v>
      </c>
      <c r="R743" s="1" t="s">
        <v>7</v>
      </c>
    </row>
    <row r="744" spans="1:18" ht="12.75">
      <c r="A744" s="2"/>
      <c r="B744" s="1" t="s">
        <v>8</v>
      </c>
      <c r="C744" s="3">
        <v>2011</v>
      </c>
      <c r="D744" s="3">
        <v>2011</v>
      </c>
      <c r="E744" s="3">
        <v>2011</v>
      </c>
      <c r="F744" s="3">
        <v>2011</v>
      </c>
      <c r="G744" s="3">
        <v>2012</v>
      </c>
      <c r="H744" s="3">
        <v>2012</v>
      </c>
      <c r="I744" s="3">
        <v>2012</v>
      </c>
      <c r="J744" s="3">
        <v>2012</v>
      </c>
      <c r="K744" s="3">
        <v>2013</v>
      </c>
      <c r="L744" s="3">
        <v>2013</v>
      </c>
      <c r="M744" s="3">
        <v>2014</v>
      </c>
      <c r="N744" s="3">
        <v>2014</v>
      </c>
      <c r="O744" s="3"/>
      <c r="P744" s="3"/>
      <c r="Q744" s="2" t="s">
        <v>9</v>
      </c>
      <c r="R744" s="2" t="s">
        <v>9</v>
      </c>
    </row>
    <row r="745" spans="1:18" ht="12.75">
      <c r="A745" s="4" t="s">
        <v>10</v>
      </c>
      <c r="B745" s="5" t="s">
        <v>11</v>
      </c>
      <c r="C745" s="5" t="s">
        <v>12</v>
      </c>
      <c r="D745" s="5" t="s">
        <v>12</v>
      </c>
      <c r="E745" s="4" t="s">
        <v>13</v>
      </c>
      <c r="F745" s="5" t="s">
        <v>12</v>
      </c>
      <c r="G745" s="5" t="s">
        <v>12</v>
      </c>
      <c r="H745" s="5" t="s">
        <v>12</v>
      </c>
      <c r="I745" s="4" t="s">
        <v>13</v>
      </c>
      <c r="J745" s="5" t="s">
        <v>12</v>
      </c>
      <c r="K745" s="5" t="s">
        <v>12</v>
      </c>
      <c r="L745" s="5" t="s">
        <v>12</v>
      </c>
      <c r="M745" s="5" t="s">
        <v>12</v>
      </c>
      <c r="N745" s="5" t="s">
        <v>12</v>
      </c>
      <c r="O745" s="5"/>
      <c r="P745" s="5"/>
      <c r="Q745" s="4" t="s">
        <v>15</v>
      </c>
      <c r="R745" s="4" t="s">
        <v>15</v>
      </c>
    </row>
    <row r="746" spans="2:18" ht="12.75">
      <c r="B746" s="8" t="s">
        <v>614</v>
      </c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2.75">
      <c r="A747" t="s">
        <v>615</v>
      </c>
      <c r="B747" t="s">
        <v>537</v>
      </c>
      <c r="C747" s="10"/>
      <c r="D747" s="10"/>
      <c r="E747" s="10"/>
      <c r="F747" s="10">
        <f aca="true" t="shared" si="263" ref="F747:F754">D747+E747</f>
        <v>0</v>
      </c>
      <c r="G747" s="10"/>
      <c r="H747" s="10"/>
      <c r="I747" s="10"/>
      <c r="J747" s="10">
        <f aca="true" t="shared" si="264" ref="J747:J754">H747+I747</f>
        <v>0</v>
      </c>
      <c r="K747" s="10"/>
      <c r="L747" s="10"/>
      <c r="M747" s="10"/>
      <c r="N747" s="10"/>
      <c r="O747" s="10"/>
      <c r="P747" s="10"/>
      <c r="Q747" s="10">
        <f aca="true" t="shared" si="265" ref="Q747:Q754">N747-L747</f>
        <v>0</v>
      </c>
      <c r="R747" s="11" t="e">
        <f aca="true" t="shared" si="266" ref="R747:R754">Q747/L747</f>
        <v>#DIV/0!</v>
      </c>
    </row>
    <row r="748" spans="1:18" ht="12.75">
      <c r="A748" t="s">
        <v>616</v>
      </c>
      <c r="B748" t="s">
        <v>617</v>
      </c>
      <c r="C748" s="10"/>
      <c r="D748" s="10"/>
      <c r="E748" s="10"/>
      <c r="F748" s="10">
        <f t="shared" si="263"/>
        <v>0</v>
      </c>
      <c r="G748" s="10"/>
      <c r="H748" s="10"/>
      <c r="I748" s="10"/>
      <c r="J748" s="10">
        <f t="shared" si="264"/>
        <v>0</v>
      </c>
      <c r="K748" s="10"/>
      <c r="L748" s="10"/>
      <c r="M748" s="10"/>
      <c r="N748" s="10"/>
      <c r="O748" s="10"/>
      <c r="P748" s="10"/>
      <c r="Q748" s="10">
        <f t="shared" si="265"/>
        <v>0</v>
      </c>
      <c r="R748" s="11" t="e">
        <f t="shared" si="266"/>
        <v>#DIV/0!</v>
      </c>
    </row>
    <row r="749" spans="1:18" ht="12.75">
      <c r="A749" t="s">
        <v>618</v>
      </c>
      <c r="B749" t="s">
        <v>619</v>
      </c>
      <c r="C749" s="10">
        <v>4590</v>
      </c>
      <c r="D749" s="10">
        <v>4590</v>
      </c>
      <c r="E749" s="10"/>
      <c r="F749" s="10">
        <f t="shared" si="263"/>
        <v>4590</v>
      </c>
      <c r="G749" s="10">
        <v>5000</v>
      </c>
      <c r="H749" s="10">
        <v>5000</v>
      </c>
      <c r="I749" s="10"/>
      <c r="J749" s="10">
        <f t="shared" si="264"/>
        <v>5000</v>
      </c>
      <c r="K749" s="10">
        <v>5000</v>
      </c>
      <c r="L749" s="10">
        <v>3000</v>
      </c>
      <c r="M749" s="10"/>
      <c r="N749" s="10"/>
      <c r="O749" s="10"/>
      <c r="P749" s="10"/>
      <c r="Q749" s="10">
        <f t="shared" si="265"/>
        <v>-3000</v>
      </c>
      <c r="R749" s="11">
        <f t="shared" si="266"/>
        <v>-1</v>
      </c>
    </row>
    <row r="750" spans="1:18" ht="12.75">
      <c r="A750" t="s">
        <v>620</v>
      </c>
      <c r="B750" t="s">
        <v>621</v>
      </c>
      <c r="C750" s="10">
        <v>2295</v>
      </c>
      <c r="D750" s="10">
        <v>2295</v>
      </c>
      <c r="E750" s="10"/>
      <c r="F750" s="10">
        <f t="shared" si="263"/>
        <v>2295</v>
      </c>
      <c r="G750" s="10">
        <v>2500</v>
      </c>
      <c r="H750" s="10">
        <v>2500</v>
      </c>
      <c r="I750" s="10"/>
      <c r="J750" s="10">
        <f t="shared" si="264"/>
        <v>2500</v>
      </c>
      <c r="K750" s="10">
        <v>2500</v>
      </c>
      <c r="L750" s="10">
        <v>2500</v>
      </c>
      <c r="M750" s="10"/>
      <c r="N750" s="10"/>
      <c r="O750" s="10"/>
      <c r="P750" s="10"/>
      <c r="Q750" s="10">
        <f t="shared" si="265"/>
        <v>-2500</v>
      </c>
      <c r="R750" s="11">
        <f t="shared" si="266"/>
        <v>-1</v>
      </c>
    </row>
    <row r="751" spans="1:18" ht="12.75">
      <c r="A751" t="s">
        <v>622</v>
      </c>
      <c r="B751" t="s">
        <v>547</v>
      </c>
      <c r="C751" s="10"/>
      <c r="D751" s="10"/>
      <c r="E751" s="10"/>
      <c r="F751" s="10">
        <f t="shared" si="263"/>
        <v>0</v>
      </c>
      <c r="G751" s="10"/>
      <c r="H751" s="10"/>
      <c r="I751" s="10"/>
      <c r="J751" s="10">
        <f t="shared" si="264"/>
        <v>0</v>
      </c>
      <c r="K751" s="10"/>
      <c r="L751" s="10"/>
      <c r="M751" s="10"/>
      <c r="N751" s="10"/>
      <c r="O751" s="10"/>
      <c r="P751" s="10"/>
      <c r="Q751" s="10">
        <f t="shared" si="265"/>
        <v>0</v>
      </c>
      <c r="R751" s="11" t="e">
        <f t="shared" si="266"/>
        <v>#DIV/0!</v>
      </c>
    </row>
    <row r="752" spans="1:18" ht="12.75">
      <c r="A752" t="s">
        <v>623</v>
      </c>
      <c r="B752" t="s">
        <v>624</v>
      </c>
      <c r="C752" s="10"/>
      <c r="D752" s="10"/>
      <c r="E752" s="10"/>
      <c r="F752" s="10">
        <f t="shared" si="263"/>
        <v>0</v>
      </c>
      <c r="G752" s="10"/>
      <c r="H752" s="10"/>
      <c r="I752" s="10"/>
      <c r="J752" s="10">
        <f t="shared" si="264"/>
        <v>0</v>
      </c>
      <c r="K752" s="10"/>
      <c r="L752" s="10"/>
      <c r="M752" s="10"/>
      <c r="N752" s="10"/>
      <c r="O752" s="10"/>
      <c r="P752" s="10"/>
      <c r="Q752" s="10">
        <f t="shared" si="265"/>
        <v>0</v>
      </c>
      <c r="R752" s="11" t="e">
        <f t="shared" si="266"/>
        <v>#DIV/0!</v>
      </c>
    </row>
    <row r="753" spans="1:18" ht="12.75">
      <c r="A753" t="s">
        <v>625</v>
      </c>
      <c r="B753" t="s">
        <v>95</v>
      </c>
      <c r="C753" s="10">
        <v>1148</v>
      </c>
      <c r="D753" s="10">
        <v>1148</v>
      </c>
      <c r="E753" s="10"/>
      <c r="F753" s="10">
        <f t="shared" si="263"/>
        <v>1148</v>
      </c>
      <c r="G753" s="10">
        <v>1200</v>
      </c>
      <c r="H753" s="10">
        <v>1200</v>
      </c>
      <c r="I753" s="10"/>
      <c r="J753" s="10">
        <f t="shared" si="264"/>
        <v>1200</v>
      </c>
      <c r="K753" s="10"/>
      <c r="L753" s="10"/>
      <c r="M753" s="10"/>
      <c r="N753" s="10"/>
      <c r="O753" s="10"/>
      <c r="P753" s="10"/>
      <c r="Q753" s="10">
        <f t="shared" si="265"/>
        <v>0</v>
      </c>
      <c r="R753" s="11" t="e">
        <f t="shared" si="266"/>
        <v>#DIV/0!</v>
      </c>
    </row>
    <row r="754" spans="1:18" ht="12.75">
      <c r="A754" t="s">
        <v>626</v>
      </c>
      <c r="B754" t="s">
        <v>553</v>
      </c>
      <c r="C754" s="10"/>
      <c r="D754" s="10"/>
      <c r="E754" s="10"/>
      <c r="F754" s="10">
        <f t="shared" si="263"/>
        <v>0</v>
      </c>
      <c r="G754" s="10"/>
      <c r="H754" s="10"/>
      <c r="I754" s="10"/>
      <c r="J754" s="10">
        <f t="shared" si="264"/>
        <v>0</v>
      </c>
      <c r="K754" s="10"/>
      <c r="L754" s="10"/>
      <c r="M754" s="10"/>
      <c r="N754" s="10"/>
      <c r="O754" s="10"/>
      <c r="P754" s="10"/>
      <c r="Q754" s="10">
        <f t="shared" si="265"/>
        <v>0</v>
      </c>
      <c r="R754" s="11" t="e">
        <f t="shared" si="266"/>
        <v>#DIV/0!</v>
      </c>
    </row>
    <row r="755" spans="2:18" ht="12.75">
      <c r="B755" s="8" t="s">
        <v>20</v>
      </c>
      <c r="C755" s="12">
        <f aca="true" t="shared" si="267" ref="C755:J755">SUM(C747:C754)</f>
        <v>8033</v>
      </c>
      <c r="D755" s="12">
        <f t="shared" si="267"/>
        <v>8033</v>
      </c>
      <c r="E755" s="12">
        <f t="shared" si="267"/>
        <v>0</v>
      </c>
      <c r="F755" s="12">
        <f t="shared" si="267"/>
        <v>8033</v>
      </c>
      <c r="G755" s="12">
        <f t="shared" si="267"/>
        <v>8700</v>
      </c>
      <c r="H755" s="12">
        <f t="shared" si="267"/>
        <v>8700</v>
      </c>
      <c r="I755" s="12">
        <f t="shared" si="267"/>
        <v>0</v>
      </c>
      <c r="J755" s="12">
        <f t="shared" si="267"/>
        <v>8700</v>
      </c>
      <c r="K755" s="12">
        <f>SUM(K747:K754)</f>
        <v>7500</v>
      </c>
      <c r="L755" s="12">
        <f>SUM(L747:L754)</f>
        <v>5500</v>
      </c>
      <c r="M755" s="12">
        <f>SUM(M747:M754)</f>
        <v>0</v>
      </c>
      <c r="N755" s="12">
        <f>SUM(N747:N754)</f>
        <v>0</v>
      </c>
      <c r="O755" s="12"/>
      <c r="P755" s="12"/>
      <c r="Q755" s="12">
        <f>SUM(Q747:Q754)</f>
        <v>-5500</v>
      </c>
      <c r="R755" s="34">
        <f>Q755/L755</f>
        <v>-1</v>
      </c>
    </row>
    <row r="756" spans="3:18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2.75">
      <c r="A757" t="s">
        <v>627</v>
      </c>
      <c r="B757" t="s">
        <v>555</v>
      </c>
      <c r="C757" s="10">
        <v>5500</v>
      </c>
      <c r="D757" s="10">
        <v>5500</v>
      </c>
      <c r="E757" s="10"/>
      <c r="F757" s="10">
        <f aca="true" t="shared" si="268" ref="F757:F771">D757+E757</f>
        <v>5500</v>
      </c>
      <c r="G757" s="10">
        <v>5500</v>
      </c>
      <c r="H757" s="10">
        <v>5500</v>
      </c>
      <c r="I757" s="10"/>
      <c r="J757" s="10">
        <f aca="true" t="shared" si="269" ref="J757:J771">H757+I757</f>
        <v>5500</v>
      </c>
      <c r="K757" s="10">
        <v>5500</v>
      </c>
      <c r="L757" s="10">
        <v>5500</v>
      </c>
      <c r="M757" s="10">
        <v>5500</v>
      </c>
      <c r="N757" s="10">
        <v>5500</v>
      </c>
      <c r="O757" s="10"/>
      <c r="P757" s="10"/>
      <c r="Q757" s="10">
        <f aca="true" t="shared" si="270" ref="Q757:Q771">N757-L757</f>
        <v>0</v>
      </c>
      <c r="R757" s="11">
        <f aca="true" t="shared" si="271" ref="R757:R771">Q757/L757</f>
        <v>0</v>
      </c>
    </row>
    <row r="758" spans="1:18" ht="12.75">
      <c r="A758" t="s">
        <v>628</v>
      </c>
      <c r="B758" t="s">
        <v>557</v>
      </c>
      <c r="C758" s="10">
        <v>7000</v>
      </c>
      <c r="D758" s="10">
        <v>7000</v>
      </c>
      <c r="E758" s="10"/>
      <c r="F758" s="10">
        <f t="shared" si="268"/>
        <v>7000</v>
      </c>
      <c r="G758" s="10">
        <v>5000</v>
      </c>
      <c r="H758" s="10">
        <v>5000</v>
      </c>
      <c r="I758" s="10"/>
      <c r="J758" s="10">
        <f t="shared" si="269"/>
        <v>5000</v>
      </c>
      <c r="K758" s="10">
        <v>5500</v>
      </c>
      <c r="L758" s="10">
        <v>1500</v>
      </c>
      <c r="M758" s="10">
        <v>1000</v>
      </c>
      <c r="N758" s="10">
        <v>1000</v>
      </c>
      <c r="O758" s="10"/>
      <c r="P758" s="10"/>
      <c r="Q758" s="10">
        <f t="shared" si="270"/>
        <v>-500</v>
      </c>
      <c r="R758" s="11">
        <f t="shared" si="271"/>
        <v>-0.3333333333333333</v>
      </c>
    </row>
    <row r="759" spans="1:18" ht="12.75">
      <c r="A759" t="s">
        <v>629</v>
      </c>
      <c r="B759" t="s">
        <v>630</v>
      </c>
      <c r="C759" s="10">
        <v>484849</v>
      </c>
      <c r="D759" s="10">
        <v>484849</v>
      </c>
      <c r="E759" s="10"/>
      <c r="F759" s="10">
        <f t="shared" si="268"/>
        <v>484849</v>
      </c>
      <c r="G759" s="10">
        <v>501818</v>
      </c>
      <c r="H759" s="10">
        <v>501818</v>
      </c>
      <c r="I759" s="10"/>
      <c r="J759" s="10">
        <f t="shared" si="269"/>
        <v>501818</v>
      </c>
      <c r="K759" s="10">
        <v>516873</v>
      </c>
      <c r="L759" s="10">
        <v>516873</v>
      </c>
      <c r="M759" s="10">
        <v>529795</v>
      </c>
      <c r="N759" s="10">
        <v>529795</v>
      </c>
      <c r="O759" s="10"/>
      <c r="P759" s="10"/>
      <c r="Q759" s="10">
        <f t="shared" si="270"/>
        <v>12922</v>
      </c>
      <c r="R759" s="11">
        <f t="shared" si="271"/>
        <v>0.02500033857446607</v>
      </c>
    </row>
    <row r="760" spans="1:18" ht="12.75">
      <c r="A760" t="s">
        <v>631</v>
      </c>
      <c r="B760" t="s">
        <v>226</v>
      </c>
      <c r="C760" s="10">
        <v>6665</v>
      </c>
      <c r="D760" s="10">
        <v>6665</v>
      </c>
      <c r="E760" s="10"/>
      <c r="F760" s="10">
        <f t="shared" si="268"/>
        <v>6665</v>
      </c>
      <c r="G760" s="10">
        <v>7000</v>
      </c>
      <c r="H760" s="10">
        <v>7000</v>
      </c>
      <c r="I760" s="10"/>
      <c r="J760" s="10">
        <f t="shared" si="269"/>
        <v>7000</v>
      </c>
      <c r="K760" s="10">
        <v>7350</v>
      </c>
      <c r="L760" s="10">
        <v>6000</v>
      </c>
      <c r="M760" s="10">
        <v>5000</v>
      </c>
      <c r="N760" s="10">
        <v>5000</v>
      </c>
      <c r="O760" s="10"/>
      <c r="P760" s="10"/>
      <c r="Q760" s="10">
        <f t="shared" si="270"/>
        <v>-1000</v>
      </c>
      <c r="R760" s="11">
        <f t="shared" si="271"/>
        <v>-0.16666666666666666</v>
      </c>
    </row>
    <row r="761" spans="1:18" ht="12.75">
      <c r="A761" t="s">
        <v>632</v>
      </c>
      <c r="B761" t="s">
        <v>382</v>
      </c>
      <c r="C761" s="10">
        <v>100160</v>
      </c>
      <c r="D761" s="10">
        <v>100160</v>
      </c>
      <c r="E761" s="10"/>
      <c r="F761" s="10">
        <f t="shared" si="268"/>
        <v>100160</v>
      </c>
      <c r="G761" s="10">
        <v>100000</v>
      </c>
      <c r="H761" s="10">
        <v>100000</v>
      </c>
      <c r="I761" s="10"/>
      <c r="J761" s="10">
        <f t="shared" si="269"/>
        <v>100000</v>
      </c>
      <c r="K761" s="10">
        <v>82000</v>
      </c>
      <c r="L761" s="10">
        <v>80000</v>
      </c>
      <c r="M761" s="10">
        <v>65000</v>
      </c>
      <c r="N761" s="10">
        <v>65000</v>
      </c>
      <c r="O761" s="10"/>
      <c r="P761" s="10"/>
      <c r="Q761" s="10">
        <f t="shared" si="270"/>
        <v>-15000</v>
      </c>
      <c r="R761" s="11">
        <f t="shared" si="271"/>
        <v>-0.1875</v>
      </c>
    </row>
    <row r="762" spans="1:18" ht="12.75">
      <c r="A762" t="s">
        <v>633</v>
      </c>
      <c r="B762" t="s">
        <v>634</v>
      </c>
      <c r="C762" s="10">
        <v>40000</v>
      </c>
      <c r="D762" s="10">
        <v>40000</v>
      </c>
      <c r="E762" s="10"/>
      <c r="F762" s="10">
        <f t="shared" si="268"/>
        <v>40000</v>
      </c>
      <c r="G762" s="10">
        <v>40000</v>
      </c>
      <c r="H762" s="10">
        <v>40000</v>
      </c>
      <c r="I762" s="10"/>
      <c r="J762" s="10">
        <f t="shared" si="269"/>
        <v>40000</v>
      </c>
      <c r="K762" s="10">
        <v>35000</v>
      </c>
      <c r="L762" s="10">
        <v>30000</v>
      </c>
      <c r="M762" s="10">
        <f>30000-6992</f>
        <v>23008</v>
      </c>
      <c r="N762" s="10">
        <f>30000-6992</f>
        <v>23008</v>
      </c>
      <c r="O762" s="10"/>
      <c r="P762" s="10"/>
      <c r="Q762" s="10">
        <f t="shared" si="270"/>
        <v>-6992</v>
      </c>
      <c r="R762" s="11">
        <f t="shared" si="271"/>
        <v>-0.23306666666666667</v>
      </c>
    </row>
    <row r="763" spans="1:18" ht="12.75">
      <c r="A763" t="s">
        <v>635</v>
      </c>
      <c r="B763" t="s">
        <v>50</v>
      </c>
      <c r="C763" s="10">
        <v>3587</v>
      </c>
      <c r="D763" s="10">
        <v>3587</v>
      </c>
      <c r="E763" s="10"/>
      <c r="F763" s="10">
        <f t="shared" si="268"/>
        <v>3587</v>
      </c>
      <c r="G763" s="10">
        <v>2000</v>
      </c>
      <c r="H763" s="10">
        <v>2000</v>
      </c>
      <c r="I763" s="10"/>
      <c r="J763" s="10">
        <f t="shared" si="269"/>
        <v>2000</v>
      </c>
      <c r="K763" s="10">
        <v>3189</v>
      </c>
      <c r="L763" s="10">
        <v>1500</v>
      </c>
      <c r="M763" s="10">
        <v>1500</v>
      </c>
      <c r="N763" s="10">
        <v>1500</v>
      </c>
      <c r="O763" s="10"/>
      <c r="P763" s="10"/>
      <c r="Q763" s="10">
        <f t="shared" si="270"/>
        <v>0</v>
      </c>
      <c r="R763" s="11">
        <f t="shared" si="271"/>
        <v>0</v>
      </c>
    </row>
    <row r="764" spans="1:18" ht="12.75">
      <c r="A764" t="s">
        <v>636</v>
      </c>
      <c r="B764" t="s">
        <v>282</v>
      </c>
      <c r="C764" s="10">
        <v>6554</v>
      </c>
      <c r="D764" s="10">
        <v>6554</v>
      </c>
      <c r="E764" s="10"/>
      <c r="F764" s="10">
        <f t="shared" si="268"/>
        <v>6554</v>
      </c>
      <c r="G764" s="10">
        <v>8000</v>
      </c>
      <c r="H764" s="10">
        <v>8000</v>
      </c>
      <c r="I764" s="10"/>
      <c r="J764" s="10">
        <f t="shared" si="269"/>
        <v>8000</v>
      </c>
      <c r="K764" s="10">
        <v>8000</v>
      </c>
      <c r="L764" s="10">
        <v>6000</v>
      </c>
      <c r="M764" s="10">
        <v>8400</v>
      </c>
      <c r="N764" s="10">
        <v>8400</v>
      </c>
      <c r="O764" s="10"/>
      <c r="P764" s="10"/>
      <c r="Q764" s="10">
        <f t="shared" si="270"/>
        <v>2400</v>
      </c>
      <c r="R764" s="11">
        <f t="shared" si="271"/>
        <v>0.4</v>
      </c>
    </row>
    <row r="765" spans="1:18" ht="12.75">
      <c r="A765" t="s">
        <v>637</v>
      </c>
      <c r="B765" s="20" t="s">
        <v>638</v>
      </c>
      <c r="C765" s="10">
        <v>1100</v>
      </c>
      <c r="D765" s="10">
        <v>1100</v>
      </c>
      <c r="E765" s="10"/>
      <c r="F765" s="10">
        <f t="shared" si="268"/>
        <v>1100</v>
      </c>
      <c r="G765" s="10">
        <v>21600</v>
      </c>
      <c r="H765" s="10">
        <v>21600</v>
      </c>
      <c r="I765" s="10"/>
      <c r="J765" s="10">
        <f t="shared" si="269"/>
        <v>21600</v>
      </c>
      <c r="K765" s="10">
        <v>22000</v>
      </c>
      <c r="L765" s="10">
        <v>20000</v>
      </c>
      <c r="M765" s="10">
        <v>10800</v>
      </c>
      <c r="N765" s="10">
        <v>10800</v>
      </c>
      <c r="O765" s="10"/>
      <c r="P765" s="10"/>
      <c r="Q765" s="10">
        <f t="shared" si="270"/>
        <v>-9200</v>
      </c>
      <c r="R765" s="11">
        <f t="shared" si="271"/>
        <v>-0.46</v>
      </c>
    </row>
    <row r="766" spans="1:18" ht="12.75">
      <c r="A766" t="s">
        <v>639</v>
      </c>
      <c r="B766" t="s">
        <v>411</v>
      </c>
      <c r="C766" s="10">
        <v>20735</v>
      </c>
      <c r="D766" s="10">
        <v>20735</v>
      </c>
      <c r="E766" s="10"/>
      <c r="F766" s="10">
        <f t="shared" si="268"/>
        <v>20735</v>
      </c>
      <c r="G766" s="10">
        <v>25000</v>
      </c>
      <c r="H766" s="10">
        <v>25000</v>
      </c>
      <c r="I766" s="10"/>
      <c r="J766" s="10">
        <f t="shared" si="269"/>
        <v>25000</v>
      </c>
      <c r="K766" s="10">
        <v>25000</v>
      </c>
      <c r="L766" s="10">
        <v>25000</v>
      </c>
      <c r="M766" s="10">
        <v>14000</v>
      </c>
      <c r="N766" s="10">
        <v>14000</v>
      </c>
      <c r="O766" s="10"/>
      <c r="P766" s="10"/>
      <c r="Q766" s="10">
        <f t="shared" si="270"/>
        <v>-11000</v>
      </c>
      <c r="R766" s="11">
        <f t="shared" si="271"/>
        <v>-0.44</v>
      </c>
    </row>
    <row r="767" spans="1:18" ht="12.75">
      <c r="A767" t="s">
        <v>640</v>
      </c>
      <c r="B767" t="s">
        <v>641</v>
      </c>
      <c r="C767" s="10">
        <v>130503</v>
      </c>
      <c r="D767" s="10">
        <v>130503</v>
      </c>
      <c r="E767" s="10"/>
      <c r="F767" s="10">
        <f t="shared" si="268"/>
        <v>130503</v>
      </c>
      <c r="G767" s="10">
        <v>130500</v>
      </c>
      <c r="H767" s="10">
        <v>130500</v>
      </c>
      <c r="I767" s="10"/>
      <c r="J767" s="10">
        <f t="shared" si="269"/>
        <v>130500</v>
      </c>
      <c r="K767" s="10">
        <v>135720</v>
      </c>
      <c r="L767" s="10">
        <v>120720</v>
      </c>
      <c r="M767" s="10">
        <v>120000</v>
      </c>
      <c r="N767" s="10">
        <v>120000</v>
      </c>
      <c r="O767" s="10"/>
      <c r="P767" s="10"/>
      <c r="Q767" s="10">
        <f t="shared" si="270"/>
        <v>-720</v>
      </c>
      <c r="R767" s="11">
        <f t="shared" si="271"/>
        <v>-0.005964214711729622</v>
      </c>
    </row>
    <row r="768" spans="2:18" ht="12.75">
      <c r="B768" t="s">
        <v>642</v>
      </c>
      <c r="C768" s="10">
        <v>0</v>
      </c>
      <c r="D768" s="10">
        <v>0</v>
      </c>
      <c r="E768" s="10"/>
      <c r="F768" s="10">
        <f t="shared" si="268"/>
        <v>0</v>
      </c>
      <c r="G768" s="10">
        <v>15000</v>
      </c>
      <c r="H768" s="10">
        <v>15000</v>
      </c>
      <c r="I768" s="10"/>
      <c r="J768" s="10">
        <f t="shared" si="269"/>
        <v>15000</v>
      </c>
      <c r="K768" s="10">
        <v>0</v>
      </c>
      <c r="L768" s="10">
        <v>0</v>
      </c>
      <c r="M768" s="10"/>
      <c r="N768" s="10"/>
      <c r="O768" s="10"/>
      <c r="P768" s="10"/>
      <c r="Q768" s="10">
        <f t="shared" si="270"/>
        <v>0</v>
      </c>
      <c r="R768" s="11" t="e">
        <f t="shared" si="271"/>
        <v>#DIV/0!</v>
      </c>
    </row>
    <row r="769" spans="1:18" ht="12.75">
      <c r="A769" t="s">
        <v>643</v>
      </c>
      <c r="B769" t="s">
        <v>644</v>
      </c>
      <c r="C769" s="10">
        <v>1966</v>
      </c>
      <c r="D769" s="10">
        <v>1966</v>
      </c>
      <c r="E769" s="10"/>
      <c r="F769" s="10">
        <f t="shared" si="268"/>
        <v>1966</v>
      </c>
      <c r="G769" s="10">
        <v>2000</v>
      </c>
      <c r="H769" s="10">
        <v>2000</v>
      </c>
      <c r="I769" s="10"/>
      <c r="J769" s="10">
        <f t="shared" si="269"/>
        <v>2000</v>
      </c>
      <c r="K769" s="10">
        <v>2000</v>
      </c>
      <c r="L769" s="10">
        <v>0</v>
      </c>
      <c r="M769" s="10"/>
      <c r="N769" s="10"/>
      <c r="O769" s="10"/>
      <c r="P769" s="10"/>
      <c r="Q769" s="10">
        <f t="shared" si="270"/>
        <v>0</v>
      </c>
      <c r="R769" s="11" t="e">
        <f t="shared" si="271"/>
        <v>#DIV/0!</v>
      </c>
    </row>
    <row r="770" spans="2:18" ht="12.75">
      <c r="B770" t="s">
        <v>645</v>
      </c>
      <c r="C770" s="10">
        <v>10000</v>
      </c>
      <c r="D770" s="10">
        <v>10000</v>
      </c>
      <c r="E770" s="10"/>
      <c r="F770" s="10">
        <f t="shared" si="268"/>
        <v>10000</v>
      </c>
      <c r="G770" s="10">
        <v>10000</v>
      </c>
      <c r="H770" s="10">
        <v>10000</v>
      </c>
      <c r="I770" s="10"/>
      <c r="J770" s="10">
        <f t="shared" si="269"/>
        <v>10000</v>
      </c>
      <c r="K770" s="10">
        <v>10000</v>
      </c>
      <c r="L770" s="10">
        <v>10000</v>
      </c>
      <c r="M770" s="10">
        <v>10000</v>
      </c>
      <c r="N770" s="10">
        <v>10000</v>
      </c>
      <c r="O770" s="10"/>
      <c r="P770" s="10"/>
      <c r="Q770" s="10">
        <f t="shared" si="270"/>
        <v>0</v>
      </c>
      <c r="R770" s="11">
        <f t="shared" si="271"/>
        <v>0</v>
      </c>
    </row>
    <row r="771" spans="1:18" ht="12.75">
      <c r="A771" t="s">
        <v>646</v>
      </c>
      <c r="B771" t="s">
        <v>577</v>
      </c>
      <c r="C771" s="10">
        <v>4000</v>
      </c>
      <c r="D771" s="10">
        <v>4000</v>
      </c>
      <c r="E771" s="10"/>
      <c r="F771" s="10">
        <f t="shared" si="268"/>
        <v>4000</v>
      </c>
      <c r="G771" s="10">
        <v>4000</v>
      </c>
      <c r="H771" s="10">
        <v>4000</v>
      </c>
      <c r="I771" s="10"/>
      <c r="J771" s="10">
        <f t="shared" si="269"/>
        <v>4000</v>
      </c>
      <c r="K771" s="10">
        <v>5000</v>
      </c>
      <c r="L771" s="10">
        <v>5000</v>
      </c>
      <c r="M771" s="10">
        <v>5000</v>
      </c>
      <c r="N771" s="10">
        <v>5000</v>
      </c>
      <c r="O771" s="10"/>
      <c r="P771" s="10"/>
      <c r="Q771" s="10">
        <f t="shared" si="270"/>
        <v>0</v>
      </c>
      <c r="R771" s="11">
        <f t="shared" si="271"/>
        <v>0</v>
      </c>
    </row>
    <row r="772" spans="2:18" ht="12.75">
      <c r="B772" s="8" t="s">
        <v>23</v>
      </c>
      <c r="C772" s="12">
        <f aca="true" t="shared" si="272" ref="C772:J772">SUM(C757:C771)</f>
        <v>822619</v>
      </c>
      <c r="D772" s="12">
        <f t="shared" si="272"/>
        <v>822619</v>
      </c>
      <c r="E772" s="12">
        <f t="shared" si="272"/>
        <v>0</v>
      </c>
      <c r="F772" s="12">
        <f t="shared" si="272"/>
        <v>822619</v>
      </c>
      <c r="G772" s="12">
        <f t="shared" si="272"/>
        <v>877418</v>
      </c>
      <c r="H772" s="12">
        <f t="shared" si="272"/>
        <v>877418</v>
      </c>
      <c r="I772" s="12">
        <f t="shared" si="272"/>
        <v>0</v>
      </c>
      <c r="J772" s="12">
        <f t="shared" si="272"/>
        <v>877418</v>
      </c>
      <c r="K772" s="12">
        <f>SUM(K757:K771)</f>
        <v>863132</v>
      </c>
      <c r="L772" s="12">
        <f>SUM(L757:L771)</f>
        <v>828093</v>
      </c>
      <c r="M772" s="12">
        <f>SUM(M757:M771)</f>
        <v>799003</v>
      </c>
      <c r="N772" s="12">
        <f>SUM(N757:N771)</f>
        <v>799003</v>
      </c>
      <c r="O772" s="12"/>
      <c r="P772" s="12"/>
      <c r="Q772" s="12">
        <f>SUM(Q757:Q771)</f>
        <v>-29090</v>
      </c>
      <c r="R772" s="34">
        <f>Q772/L772</f>
        <v>-0.035128904603709966</v>
      </c>
    </row>
    <row r="773" spans="3:18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2.75">
      <c r="A774" t="s">
        <v>647</v>
      </c>
      <c r="B774" t="s">
        <v>336</v>
      </c>
      <c r="C774" s="10">
        <v>2000</v>
      </c>
      <c r="D774" s="10">
        <v>2000</v>
      </c>
      <c r="E774" s="10"/>
      <c r="F774" s="10">
        <f aca="true" t="shared" si="273" ref="F774:F781">D774+E774</f>
        <v>2000</v>
      </c>
      <c r="G774" s="10">
        <v>2000</v>
      </c>
      <c r="H774" s="10">
        <v>2000</v>
      </c>
      <c r="I774" s="10"/>
      <c r="J774" s="10">
        <f aca="true" t="shared" si="274" ref="J774:J781">H774+I774</f>
        <v>2000</v>
      </c>
      <c r="K774" s="10">
        <v>2000</v>
      </c>
      <c r="L774" s="10">
        <v>1000</v>
      </c>
      <c r="M774" s="10">
        <v>1050</v>
      </c>
      <c r="N774" s="10">
        <v>1050</v>
      </c>
      <c r="O774" s="10"/>
      <c r="P774" s="10"/>
      <c r="Q774" s="10">
        <f aca="true" t="shared" si="275" ref="Q774:Q781">N774-L774</f>
        <v>50</v>
      </c>
      <c r="R774" s="11">
        <f aca="true" t="shared" si="276" ref="R774:R781">Q774/L774</f>
        <v>0.05</v>
      </c>
    </row>
    <row r="775" spans="1:18" ht="12.75">
      <c r="A775" t="s">
        <v>648</v>
      </c>
      <c r="B775" t="s">
        <v>580</v>
      </c>
      <c r="C775" s="10">
        <v>144008</v>
      </c>
      <c r="D775" s="10">
        <v>144008</v>
      </c>
      <c r="E775" s="10"/>
      <c r="F775" s="10">
        <f t="shared" si="273"/>
        <v>144008</v>
      </c>
      <c r="G775" s="10">
        <v>149000</v>
      </c>
      <c r="H775" s="10">
        <v>149000</v>
      </c>
      <c r="I775" s="10"/>
      <c r="J775" s="10">
        <f t="shared" si="274"/>
        <v>149000</v>
      </c>
      <c r="K775" s="10">
        <v>149000</v>
      </c>
      <c r="L775" s="10">
        <v>145000</v>
      </c>
      <c r="M775" s="10">
        <v>130000</v>
      </c>
      <c r="N775" s="10">
        <v>130000</v>
      </c>
      <c r="O775" s="10"/>
      <c r="P775" s="10"/>
      <c r="Q775" s="10">
        <f t="shared" si="275"/>
        <v>-15000</v>
      </c>
      <c r="R775" s="11">
        <f t="shared" si="276"/>
        <v>-0.10344827586206896</v>
      </c>
    </row>
    <row r="776" spans="1:18" ht="12.75">
      <c r="A776" t="s">
        <v>649</v>
      </c>
      <c r="B776" t="s">
        <v>107</v>
      </c>
      <c r="C776" s="10">
        <v>2074</v>
      </c>
      <c r="D776" s="10">
        <v>2074</v>
      </c>
      <c r="E776" s="10"/>
      <c r="F776" s="10">
        <f t="shared" si="273"/>
        <v>2074</v>
      </c>
      <c r="G776" s="10">
        <v>2090</v>
      </c>
      <c r="H776" s="10">
        <v>2090</v>
      </c>
      <c r="I776" s="10"/>
      <c r="J776" s="10">
        <f t="shared" si="274"/>
        <v>2090</v>
      </c>
      <c r="K776" s="10">
        <v>2200</v>
      </c>
      <c r="L776" s="10">
        <v>2200</v>
      </c>
      <c r="M776" s="10">
        <v>2090</v>
      </c>
      <c r="N776" s="10">
        <v>2090</v>
      </c>
      <c r="O776" s="10"/>
      <c r="P776" s="10"/>
      <c r="Q776" s="10">
        <f t="shared" si="275"/>
        <v>-110</v>
      </c>
      <c r="R776" s="11">
        <f t="shared" si="276"/>
        <v>-0.05</v>
      </c>
    </row>
    <row r="777" spans="1:18" ht="12.75">
      <c r="A777" t="s">
        <v>650</v>
      </c>
      <c r="B777" t="s">
        <v>651</v>
      </c>
      <c r="C777" s="10"/>
      <c r="D777" s="10"/>
      <c r="E777" s="10"/>
      <c r="F777" s="10">
        <f t="shared" si="273"/>
        <v>0</v>
      </c>
      <c r="G777" s="10"/>
      <c r="H777" s="10"/>
      <c r="I777" s="10"/>
      <c r="J777" s="10">
        <f t="shared" si="274"/>
        <v>0</v>
      </c>
      <c r="K777" s="10"/>
      <c r="L777" s="10"/>
      <c r="M777" s="10"/>
      <c r="N777" s="10"/>
      <c r="O777" s="10"/>
      <c r="P777" s="10"/>
      <c r="Q777" s="10">
        <f t="shared" si="275"/>
        <v>0</v>
      </c>
      <c r="R777" s="11" t="e">
        <f t="shared" si="276"/>
        <v>#DIV/0!</v>
      </c>
    </row>
    <row r="778" spans="1:18" ht="12.75">
      <c r="A778" t="s">
        <v>652</v>
      </c>
      <c r="B778" s="20" t="s">
        <v>653</v>
      </c>
      <c r="C778" s="10">
        <v>5000</v>
      </c>
      <c r="D778" s="10">
        <v>5000</v>
      </c>
      <c r="E778" s="10"/>
      <c r="F778" s="10">
        <f t="shared" si="273"/>
        <v>5000</v>
      </c>
      <c r="G778" s="10">
        <v>5000</v>
      </c>
      <c r="H778" s="10">
        <v>5000</v>
      </c>
      <c r="I778" s="10"/>
      <c r="J778" s="10">
        <f t="shared" si="274"/>
        <v>5000</v>
      </c>
      <c r="K778" s="10">
        <v>4000</v>
      </c>
      <c r="L778" s="10">
        <v>3000</v>
      </c>
      <c r="M778" s="10">
        <v>3000</v>
      </c>
      <c r="N778" s="10">
        <v>3000</v>
      </c>
      <c r="O778" s="10"/>
      <c r="P778" s="10"/>
      <c r="Q778" s="10">
        <f t="shared" si="275"/>
        <v>0</v>
      </c>
      <c r="R778" s="11">
        <f t="shared" si="276"/>
        <v>0</v>
      </c>
    </row>
    <row r="779" spans="1:18" ht="12.75">
      <c r="A779" t="s">
        <v>654</v>
      </c>
      <c r="B779" t="s">
        <v>655</v>
      </c>
      <c r="C779" s="10">
        <v>35000</v>
      </c>
      <c r="D779" s="10">
        <v>35000</v>
      </c>
      <c r="E779" s="10"/>
      <c r="F779" s="10">
        <f t="shared" si="273"/>
        <v>35000</v>
      </c>
      <c r="G779" s="10">
        <v>30000</v>
      </c>
      <c r="H779" s="10">
        <v>30000</v>
      </c>
      <c r="I779" s="10"/>
      <c r="J779" s="10">
        <f t="shared" si="274"/>
        <v>30000</v>
      </c>
      <c r="K779" s="10">
        <v>40000</v>
      </c>
      <c r="L779" s="10">
        <v>35000</v>
      </c>
      <c r="M779" s="10">
        <v>30000</v>
      </c>
      <c r="N779" s="10">
        <v>30000</v>
      </c>
      <c r="O779" s="10"/>
      <c r="P779" s="10"/>
      <c r="Q779" s="10">
        <f t="shared" si="275"/>
        <v>-5000</v>
      </c>
      <c r="R779" s="11">
        <f t="shared" si="276"/>
        <v>-0.14285714285714285</v>
      </c>
    </row>
    <row r="780" spans="1:18" ht="12.75">
      <c r="A780" t="s">
        <v>656</v>
      </c>
      <c r="B780" t="s">
        <v>589</v>
      </c>
      <c r="C780" s="10">
        <v>500</v>
      </c>
      <c r="D780" s="10">
        <v>500</v>
      </c>
      <c r="E780" s="10"/>
      <c r="F780" s="10">
        <f t="shared" si="273"/>
        <v>500</v>
      </c>
      <c r="G780" s="10">
        <v>500</v>
      </c>
      <c r="H780" s="10">
        <v>500</v>
      </c>
      <c r="I780" s="10"/>
      <c r="J780" s="10">
        <f t="shared" si="274"/>
        <v>500</v>
      </c>
      <c r="K780" s="10">
        <v>250</v>
      </c>
      <c r="L780" s="10">
        <v>250</v>
      </c>
      <c r="M780" s="10">
        <v>100</v>
      </c>
      <c r="N780" s="10">
        <v>100</v>
      </c>
      <c r="O780" s="10"/>
      <c r="P780" s="10"/>
      <c r="Q780" s="10">
        <f t="shared" si="275"/>
        <v>-150</v>
      </c>
      <c r="R780" s="11">
        <f t="shared" si="276"/>
        <v>-0.6</v>
      </c>
    </row>
    <row r="781" spans="1:18" ht="12.75">
      <c r="A781" t="s">
        <v>657</v>
      </c>
      <c r="B781" t="s">
        <v>402</v>
      </c>
      <c r="C781" s="10"/>
      <c r="D781" s="10"/>
      <c r="E781" s="10"/>
      <c r="F781" s="10">
        <f t="shared" si="273"/>
        <v>0</v>
      </c>
      <c r="G781" s="10"/>
      <c r="H781" s="10"/>
      <c r="I781" s="10"/>
      <c r="J781" s="10">
        <f t="shared" si="274"/>
        <v>0</v>
      </c>
      <c r="K781" s="10">
        <v>2200</v>
      </c>
      <c r="L781" s="10">
        <v>0</v>
      </c>
      <c r="M781" s="10"/>
      <c r="N781" s="10"/>
      <c r="O781" s="10"/>
      <c r="P781" s="10"/>
      <c r="Q781" s="10">
        <f t="shared" si="275"/>
        <v>0</v>
      </c>
      <c r="R781" s="11" t="e">
        <f t="shared" si="276"/>
        <v>#DIV/0!</v>
      </c>
    </row>
    <row r="782" spans="2:18" ht="12.75">
      <c r="B782" s="8" t="s">
        <v>53</v>
      </c>
      <c r="C782" s="12">
        <f aca="true" t="shared" si="277" ref="C782:J782">SUM(C774:C781)</f>
        <v>188582</v>
      </c>
      <c r="D782" s="12">
        <f t="shared" si="277"/>
        <v>188582</v>
      </c>
      <c r="E782" s="12">
        <f t="shared" si="277"/>
        <v>0</v>
      </c>
      <c r="F782" s="12">
        <f t="shared" si="277"/>
        <v>188582</v>
      </c>
      <c r="G782" s="12">
        <f t="shared" si="277"/>
        <v>188590</v>
      </c>
      <c r="H782" s="12">
        <f t="shared" si="277"/>
        <v>188590</v>
      </c>
      <c r="I782" s="12">
        <f t="shared" si="277"/>
        <v>0</v>
      </c>
      <c r="J782" s="12">
        <f t="shared" si="277"/>
        <v>188590</v>
      </c>
      <c r="K782" s="12">
        <f>SUM(K774:K781)</f>
        <v>199650</v>
      </c>
      <c r="L782" s="12">
        <f>SUM(L774:L781)</f>
        <v>186450</v>
      </c>
      <c r="M782" s="12">
        <f>SUM(M774:M781)</f>
        <v>166240</v>
      </c>
      <c r="N782" s="12">
        <f>SUM(N774:N781)</f>
        <v>166240</v>
      </c>
      <c r="O782" s="12"/>
      <c r="P782" s="12"/>
      <c r="Q782" s="12">
        <f>SUM(Q774:Q781)</f>
        <v>-20210</v>
      </c>
      <c r="R782" s="34">
        <f>Q782/L782</f>
        <v>-0.10839367122552963</v>
      </c>
    </row>
    <row r="783" spans="3:18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5" spans="1:18" s="28" customFormat="1" ht="12.75">
      <c r="A785" s="28" t="s">
        <v>658</v>
      </c>
      <c r="B785" s="28" t="s">
        <v>659</v>
      </c>
      <c r="C785" s="10">
        <v>1311</v>
      </c>
      <c r="D785" s="10">
        <v>1311</v>
      </c>
      <c r="E785" s="10"/>
      <c r="F785" s="10">
        <f aca="true" t="shared" si="278" ref="F785:F794">D785+E785</f>
        <v>1311</v>
      </c>
      <c r="G785" s="10">
        <v>1400</v>
      </c>
      <c r="H785" s="10">
        <v>1400</v>
      </c>
      <c r="I785" s="10"/>
      <c r="J785" s="10">
        <f aca="true" t="shared" si="279" ref="J785:J794">H785+I785</f>
        <v>1400</v>
      </c>
      <c r="K785" s="10">
        <v>750</v>
      </c>
      <c r="L785" s="10">
        <v>750</v>
      </c>
      <c r="M785" s="10">
        <v>1200</v>
      </c>
      <c r="N785" s="10">
        <v>1200</v>
      </c>
      <c r="O785" s="10"/>
      <c r="P785" s="10"/>
      <c r="Q785" s="10">
        <f aca="true" t="shared" si="280" ref="Q785:Q794">N785-L785</f>
        <v>450</v>
      </c>
      <c r="R785" s="11">
        <f aca="true" t="shared" si="281" ref="R785:R794">Q785/L785</f>
        <v>0.6</v>
      </c>
    </row>
    <row r="786" spans="1:18" ht="12.75">
      <c r="A786" t="s">
        <v>660</v>
      </c>
      <c r="B786" t="s">
        <v>661</v>
      </c>
      <c r="C786" s="10">
        <v>5065</v>
      </c>
      <c r="D786" s="10">
        <v>5065</v>
      </c>
      <c r="E786" s="10"/>
      <c r="F786" s="10">
        <f t="shared" si="278"/>
        <v>5065</v>
      </c>
      <c r="G786" s="10">
        <v>5500</v>
      </c>
      <c r="H786" s="10">
        <v>5500</v>
      </c>
      <c r="I786" s="10"/>
      <c r="J786" s="10">
        <f t="shared" si="279"/>
        <v>5500</v>
      </c>
      <c r="K786" s="10">
        <v>5500</v>
      </c>
      <c r="L786" s="10">
        <v>5500</v>
      </c>
      <c r="M786" s="10">
        <v>5500</v>
      </c>
      <c r="N786" s="10">
        <v>5500</v>
      </c>
      <c r="O786" s="10"/>
      <c r="P786" s="10"/>
      <c r="Q786" s="10">
        <f t="shared" si="280"/>
        <v>0</v>
      </c>
      <c r="R786" s="11">
        <f t="shared" si="281"/>
        <v>0</v>
      </c>
    </row>
    <row r="787" spans="2:18" ht="12.75">
      <c r="B787" t="s">
        <v>604</v>
      </c>
      <c r="C787" s="10">
        <v>2800</v>
      </c>
      <c r="D787" s="10">
        <v>2800</v>
      </c>
      <c r="E787" s="10"/>
      <c r="F787" s="10">
        <f t="shared" si="278"/>
        <v>2800</v>
      </c>
      <c r="G787" s="10">
        <v>3000</v>
      </c>
      <c r="H787" s="10">
        <v>3000</v>
      </c>
      <c r="I787" s="10"/>
      <c r="J787" s="10">
        <f t="shared" si="279"/>
        <v>3000</v>
      </c>
      <c r="K787" s="10">
        <v>2000</v>
      </c>
      <c r="L787" s="10">
        <v>2000</v>
      </c>
      <c r="M787" s="10">
        <v>4000</v>
      </c>
      <c r="N787" s="10">
        <v>4000</v>
      </c>
      <c r="O787" s="10"/>
      <c r="P787" s="10"/>
      <c r="Q787" s="10">
        <f t="shared" si="280"/>
        <v>2000</v>
      </c>
      <c r="R787" s="11">
        <f t="shared" si="281"/>
        <v>1</v>
      </c>
    </row>
    <row r="788" spans="2:18" ht="12.75">
      <c r="B788" t="s">
        <v>662</v>
      </c>
      <c r="C788" s="10">
        <v>0</v>
      </c>
      <c r="D788" s="10">
        <v>0</v>
      </c>
      <c r="E788" s="10"/>
      <c r="F788" s="10">
        <f t="shared" si="278"/>
        <v>0</v>
      </c>
      <c r="G788" s="10"/>
      <c r="H788" s="10"/>
      <c r="I788" s="10"/>
      <c r="J788" s="10">
        <f t="shared" si="279"/>
        <v>0</v>
      </c>
      <c r="K788" s="10">
        <v>27250</v>
      </c>
      <c r="L788" s="10">
        <v>27250</v>
      </c>
      <c r="M788" s="10"/>
      <c r="N788" s="10"/>
      <c r="O788" s="10"/>
      <c r="P788" s="10"/>
      <c r="Q788" s="10">
        <f t="shared" si="280"/>
        <v>-27250</v>
      </c>
      <c r="R788" s="11">
        <f t="shared" si="281"/>
        <v>-1</v>
      </c>
    </row>
    <row r="789" spans="2:18" ht="12.75">
      <c r="B789" t="s">
        <v>663</v>
      </c>
      <c r="C789" s="10">
        <v>511173</v>
      </c>
      <c r="D789" s="10">
        <f>463993+90000</f>
        <v>553993</v>
      </c>
      <c r="E789" s="10"/>
      <c r="F789" s="10">
        <f t="shared" si="278"/>
        <v>553993</v>
      </c>
      <c r="G789" s="10">
        <v>448343</v>
      </c>
      <c r="H789" s="10">
        <v>448343</v>
      </c>
      <c r="I789" s="10"/>
      <c r="J789" s="10">
        <f t="shared" si="279"/>
        <v>448343</v>
      </c>
      <c r="K789" s="10">
        <v>468106</v>
      </c>
      <c r="L789" s="10">
        <v>468106</v>
      </c>
      <c r="M789" s="10">
        <f>466425+655.21+1112.62</f>
        <v>468192.83</v>
      </c>
      <c r="N789" s="10">
        <f>466425+655.21+1112.62</f>
        <v>468192.83</v>
      </c>
      <c r="O789" s="10"/>
      <c r="P789" s="10"/>
      <c r="Q789" s="10">
        <f t="shared" si="280"/>
        <v>86.8300000000163</v>
      </c>
      <c r="R789" s="11">
        <f t="shared" si="281"/>
        <v>0.0001854921748493211</v>
      </c>
    </row>
    <row r="790" spans="1:18" ht="12.75">
      <c r="A790" t="s">
        <v>664</v>
      </c>
      <c r="B790" t="s">
        <v>665</v>
      </c>
      <c r="C790" s="10">
        <v>404950</v>
      </c>
      <c r="D790" s="10">
        <f>320000+50000</f>
        <v>370000</v>
      </c>
      <c r="E790" s="10"/>
      <c r="F790" s="10">
        <f t="shared" si="278"/>
        <v>370000</v>
      </c>
      <c r="G790" s="10">
        <v>330000</v>
      </c>
      <c r="H790" s="10">
        <v>330000</v>
      </c>
      <c r="I790" s="10"/>
      <c r="J790" s="10">
        <f t="shared" si="279"/>
        <v>330000</v>
      </c>
      <c r="K790" s="10">
        <v>449516</v>
      </c>
      <c r="L790" s="10">
        <v>449516</v>
      </c>
      <c r="M790" s="10">
        <f>451696+4501</f>
        <v>456197</v>
      </c>
      <c r="N790" s="10">
        <f>451696+4501</f>
        <v>456197</v>
      </c>
      <c r="O790" s="10"/>
      <c r="P790" s="10"/>
      <c r="Q790" s="10">
        <f t="shared" si="280"/>
        <v>6681</v>
      </c>
      <c r="R790" s="11">
        <f t="shared" si="281"/>
        <v>0.014862652274891216</v>
      </c>
    </row>
    <row r="791" spans="1:18" ht="12.75">
      <c r="A791" t="s">
        <v>666</v>
      </c>
      <c r="B791" t="s">
        <v>55</v>
      </c>
      <c r="C791" s="10"/>
      <c r="D791" s="10"/>
      <c r="E791" s="10"/>
      <c r="F791" s="10">
        <f t="shared" si="278"/>
        <v>0</v>
      </c>
      <c r="G791" s="10">
        <v>650</v>
      </c>
      <c r="H791" s="10">
        <v>650</v>
      </c>
      <c r="I791" s="10"/>
      <c r="J791" s="10">
        <f t="shared" si="279"/>
        <v>650</v>
      </c>
      <c r="K791" s="10">
        <v>750</v>
      </c>
      <c r="L791" s="10">
        <v>750</v>
      </c>
      <c r="M791" s="10"/>
      <c r="N791" s="10"/>
      <c r="O791" s="10"/>
      <c r="P791" s="10"/>
      <c r="Q791" s="10">
        <f t="shared" si="280"/>
        <v>-750</v>
      </c>
      <c r="R791" s="11">
        <f t="shared" si="281"/>
        <v>-1</v>
      </c>
    </row>
    <row r="792" spans="1:18" ht="12.75">
      <c r="A792" t="s">
        <v>667</v>
      </c>
      <c r="B792" t="s">
        <v>668</v>
      </c>
      <c r="C792" s="10">
        <v>1000</v>
      </c>
      <c r="D792" s="10">
        <v>1000</v>
      </c>
      <c r="E792" s="10"/>
      <c r="F792" s="10">
        <f t="shared" si="278"/>
        <v>1000</v>
      </c>
      <c r="G792" s="10">
        <v>1000</v>
      </c>
      <c r="H792" s="10">
        <v>1000</v>
      </c>
      <c r="I792" s="10"/>
      <c r="J792" s="10">
        <f t="shared" si="279"/>
        <v>1000</v>
      </c>
      <c r="K792" s="10">
        <v>1000</v>
      </c>
      <c r="L792" s="10">
        <v>1000</v>
      </c>
      <c r="M792" s="10"/>
      <c r="N792" s="10"/>
      <c r="O792" s="10"/>
      <c r="P792" s="10"/>
      <c r="Q792" s="10">
        <f t="shared" si="280"/>
        <v>-1000</v>
      </c>
      <c r="R792" s="11">
        <f t="shared" si="281"/>
        <v>-1</v>
      </c>
    </row>
    <row r="793" spans="1:18" ht="12.75">
      <c r="A793" t="s">
        <v>669</v>
      </c>
      <c r="B793" t="s">
        <v>601</v>
      </c>
      <c r="C793" s="10">
        <v>0</v>
      </c>
      <c r="D793" s="10"/>
      <c r="E793" s="10"/>
      <c r="F793" s="10">
        <f t="shared" si="278"/>
        <v>0</v>
      </c>
      <c r="G793" s="10"/>
      <c r="H793" s="10"/>
      <c r="I793" s="10"/>
      <c r="J793" s="10">
        <f t="shared" si="279"/>
        <v>0</v>
      </c>
      <c r="K793" s="10">
        <v>10000</v>
      </c>
      <c r="L793" s="10">
        <v>0</v>
      </c>
      <c r="M793" s="10"/>
      <c r="N793" s="10"/>
      <c r="O793" s="10"/>
      <c r="P793" s="10"/>
      <c r="Q793" s="10">
        <f t="shared" si="280"/>
        <v>0</v>
      </c>
      <c r="R793" s="11" t="e">
        <f t="shared" si="281"/>
        <v>#DIV/0!</v>
      </c>
    </row>
    <row r="794" spans="1:18" ht="12.75">
      <c r="A794" t="s">
        <v>670</v>
      </c>
      <c r="B794" t="s">
        <v>603</v>
      </c>
      <c r="C794" s="10">
        <v>150000</v>
      </c>
      <c r="D794" s="10">
        <v>150000</v>
      </c>
      <c r="E794" s="10"/>
      <c r="F794" s="10">
        <f t="shared" si="278"/>
        <v>150000</v>
      </c>
      <c r="G794" s="10">
        <v>135000</v>
      </c>
      <c r="H794" s="10">
        <v>135000</v>
      </c>
      <c r="I794" s="10"/>
      <c r="J794" s="10">
        <f t="shared" si="279"/>
        <v>135000</v>
      </c>
      <c r="K794" s="10">
        <v>65000</v>
      </c>
      <c r="L794" s="10">
        <v>50000</v>
      </c>
      <c r="M794" s="10">
        <v>25000</v>
      </c>
      <c r="N794" s="10">
        <v>25000</v>
      </c>
      <c r="O794" s="10"/>
      <c r="P794" s="10"/>
      <c r="Q794" s="10">
        <f t="shared" si="280"/>
        <v>-25000</v>
      </c>
      <c r="R794" s="11">
        <f t="shared" si="281"/>
        <v>-0.5</v>
      </c>
    </row>
    <row r="795" spans="2:18" s="47" customFormat="1" ht="12.75">
      <c r="B795" s="21" t="s">
        <v>27</v>
      </c>
      <c r="C795" s="48">
        <f aca="true" t="shared" si="282" ref="C795:J795">SUM(C785:C794)</f>
        <v>1076299</v>
      </c>
      <c r="D795" s="48">
        <f t="shared" si="282"/>
        <v>1084169</v>
      </c>
      <c r="E795" s="48">
        <f t="shared" si="282"/>
        <v>0</v>
      </c>
      <c r="F795" s="48">
        <f t="shared" si="282"/>
        <v>1084169</v>
      </c>
      <c r="G795" s="48">
        <f t="shared" si="282"/>
        <v>924893</v>
      </c>
      <c r="H795" s="48">
        <f t="shared" si="282"/>
        <v>924893</v>
      </c>
      <c r="I795" s="48">
        <f t="shared" si="282"/>
        <v>0</v>
      </c>
      <c r="J795" s="48">
        <f t="shared" si="282"/>
        <v>924893</v>
      </c>
      <c r="K795" s="48">
        <f>SUM(K785:K794)</f>
        <v>1029872</v>
      </c>
      <c r="L795" s="48">
        <f>SUM(L785:L794)</f>
        <v>1004872</v>
      </c>
      <c r="M795" s="48">
        <f>SUM(M785:M794)</f>
        <v>960089.8300000001</v>
      </c>
      <c r="N795" s="48">
        <f>SUM(N785:N794)</f>
        <v>960089.8300000001</v>
      </c>
      <c r="O795" s="48"/>
      <c r="P795" s="48"/>
      <c r="Q795" s="48">
        <f>SUM(Q785:Q794)</f>
        <v>-44782.169999999984</v>
      </c>
      <c r="R795" s="34">
        <f>Q795/L795</f>
        <v>-0.044565049080877946</v>
      </c>
    </row>
    <row r="796" spans="3:18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2.75">
      <c r="A797" t="s">
        <v>671</v>
      </c>
      <c r="B797" t="s">
        <v>672</v>
      </c>
      <c r="C797" s="10">
        <v>67500</v>
      </c>
      <c r="D797" s="10">
        <v>67500</v>
      </c>
      <c r="E797" s="10"/>
      <c r="F797" s="10">
        <f>D797+E797</f>
        <v>67500</v>
      </c>
      <c r="G797" s="10">
        <v>80000</v>
      </c>
      <c r="H797" s="10">
        <v>80000</v>
      </c>
      <c r="I797" s="10"/>
      <c r="J797" s="10">
        <f>H797+I797</f>
        <v>80000</v>
      </c>
      <c r="K797" s="10">
        <v>95000</v>
      </c>
      <c r="L797" s="10">
        <v>80000</v>
      </c>
      <c r="M797" s="10">
        <v>46000</v>
      </c>
      <c r="N797" s="10">
        <v>46000</v>
      </c>
      <c r="O797" s="10"/>
      <c r="P797" s="10"/>
      <c r="Q797" s="10">
        <f aca="true" t="shared" si="283" ref="Q797:Q804">N797-L797</f>
        <v>-34000</v>
      </c>
      <c r="R797" s="11">
        <f aca="true" t="shared" si="284" ref="R797:R804">Q797/L797</f>
        <v>-0.425</v>
      </c>
    </row>
    <row r="798" spans="1:22" ht="12.75">
      <c r="A798" t="s">
        <v>673</v>
      </c>
      <c r="B798" s="28" t="s">
        <v>674</v>
      </c>
      <c r="C798" s="10">
        <v>69885</v>
      </c>
      <c r="D798" s="10">
        <v>69885</v>
      </c>
      <c r="E798" s="10"/>
      <c r="F798" s="10">
        <f>D798+E798</f>
        <v>69885</v>
      </c>
      <c r="G798" s="10">
        <v>75000</v>
      </c>
      <c r="H798" s="10">
        <v>75000</v>
      </c>
      <c r="I798" s="10"/>
      <c r="J798" s="10">
        <f>H798+I798</f>
        <v>75000</v>
      </c>
      <c r="K798" s="10">
        <v>75000</v>
      </c>
      <c r="L798" s="10">
        <v>75000</v>
      </c>
      <c r="M798" s="10">
        <v>46000</v>
      </c>
      <c r="N798" s="10">
        <v>46000</v>
      </c>
      <c r="O798" s="10"/>
      <c r="P798" s="10"/>
      <c r="Q798" s="10">
        <f t="shared" si="283"/>
        <v>-29000</v>
      </c>
      <c r="R798" s="11">
        <f t="shared" si="284"/>
        <v>-0.38666666666666666</v>
      </c>
      <c r="S798" s="28"/>
      <c r="T798" s="28"/>
      <c r="U798" s="28"/>
      <c r="V798" s="28"/>
    </row>
    <row r="799" spans="2:18" ht="12.75">
      <c r="B799" s="29" t="s">
        <v>675</v>
      </c>
      <c r="C799" s="10"/>
      <c r="D799" s="10"/>
      <c r="E799" s="10"/>
      <c r="F799" s="10">
        <f>D799+E799</f>
        <v>0</v>
      </c>
      <c r="G799" s="10"/>
      <c r="H799" s="10"/>
      <c r="I799" s="10"/>
      <c r="J799" s="10">
        <f>H799+I799</f>
        <v>0</v>
      </c>
      <c r="K799" s="10">
        <v>10000</v>
      </c>
      <c r="L799" s="10">
        <v>0</v>
      </c>
      <c r="M799" s="10"/>
      <c r="N799" s="10"/>
      <c r="O799" s="10"/>
      <c r="P799" s="10"/>
      <c r="Q799" s="10">
        <f t="shared" si="283"/>
        <v>0</v>
      </c>
      <c r="R799" s="11" t="e">
        <f t="shared" si="284"/>
        <v>#DIV/0!</v>
      </c>
    </row>
    <row r="800" spans="2:18" ht="12.75">
      <c r="B800" s="49" t="s">
        <v>676</v>
      </c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>
        <f t="shared" si="283"/>
        <v>0</v>
      </c>
      <c r="R800" s="11" t="e">
        <f t="shared" si="284"/>
        <v>#DIV/0!</v>
      </c>
    </row>
    <row r="801" spans="2:18" ht="12.75">
      <c r="B801" s="49" t="s">
        <v>677</v>
      </c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>
        <f t="shared" si="283"/>
        <v>0</v>
      </c>
      <c r="R801" s="11" t="e">
        <f t="shared" si="284"/>
        <v>#DIV/0!</v>
      </c>
    </row>
    <row r="802" spans="2:18" ht="12.75">
      <c r="B802" s="49" t="s">
        <v>678</v>
      </c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>
        <f t="shared" si="283"/>
        <v>0</v>
      </c>
      <c r="R802" s="11" t="e">
        <f t="shared" si="284"/>
        <v>#DIV/0!</v>
      </c>
    </row>
    <row r="803" spans="2:18" ht="12.75">
      <c r="B803" s="49" t="s">
        <v>679</v>
      </c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>
        <f t="shared" si="283"/>
        <v>0</v>
      </c>
      <c r="R803" s="11" t="e">
        <f t="shared" si="284"/>
        <v>#DIV/0!</v>
      </c>
    </row>
    <row r="804" spans="2:18" ht="12.75">
      <c r="B804" s="29" t="s">
        <v>680</v>
      </c>
      <c r="C804" s="10">
        <v>10000</v>
      </c>
      <c r="D804" s="10">
        <v>10000</v>
      </c>
      <c r="E804" s="10"/>
      <c r="F804" s="10">
        <f>D804+E804</f>
        <v>10000</v>
      </c>
      <c r="G804" s="10"/>
      <c r="H804" s="10"/>
      <c r="I804" s="10"/>
      <c r="J804" s="10">
        <f>H804+I804</f>
        <v>0</v>
      </c>
      <c r="K804" s="10">
        <v>10000</v>
      </c>
      <c r="L804" s="10">
        <v>0</v>
      </c>
      <c r="M804" s="10"/>
      <c r="N804" s="10"/>
      <c r="O804" s="10"/>
      <c r="P804" s="10"/>
      <c r="Q804" s="10">
        <f t="shared" si="283"/>
        <v>0</v>
      </c>
      <c r="R804" s="11" t="e">
        <f t="shared" si="284"/>
        <v>#DIV/0!</v>
      </c>
    </row>
    <row r="805" spans="2:18" s="47" customFormat="1" ht="12.75">
      <c r="B805" s="21" t="s">
        <v>67</v>
      </c>
      <c r="C805" s="48">
        <f aca="true" t="shared" si="285" ref="C805:J805">SUM(C797:C804)</f>
        <v>147385</v>
      </c>
      <c r="D805" s="48">
        <f t="shared" si="285"/>
        <v>147385</v>
      </c>
      <c r="E805" s="48">
        <f t="shared" si="285"/>
        <v>0</v>
      </c>
      <c r="F805" s="48">
        <f t="shared" si="285"/>
        <v>147385</v>
      </c>
      <c r="G805" s="48">
        <f t="shared" si="285"/>
        <v>155000</v>
      </c>
      <c r="H805" s="48">
        <f t="shared" si="285"/>
        <v>155000</v>
      </c>
      <c r="I805" s="48">
        <f t="shared" si="285"/>
        <v>0</v>
      </c>
      <c r="J805" s="48">
        <f t="shared" si="285"/>
        <v>155000</v>
      </c>
      <c r="K805" s="48">
        <f>SUM(K797:K804)</f>
        <v>190000</v>
      </c>
      <c r="L805" s="48">
        <f>SUM(L797:L804)</f>
        <v>155000</v>
      </c>
      <c r="M805" s="48">
        <f>SUM(M797:M804)</f>
        <v>92000</v>
      </c>
      <c r="N805" s="48">
        <f>SUM(N797:N804)</f>
        <v>92000</v>
      </c>
      <c r="O805" s="48"/>
      <c r="P805" s="48"/>
      <c r="Q805" s="48">
        <f>SUM(Q797:Q804)</f>
        <v>-63000</v>
      </c>
      <c r="R805" s="34">
        <f>Q805/L805</f>
        <v>-0.4064516129032258</v>
      </c>
    </row>
    <row r="806" spans="3:18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2:18" s="47" customFormat="1" ht="12.75">
      <c r="B807" s="8" t="s">
        <v>612</v>
      </c>
      <c r="C807" s="13">
        <v>119670</v>
      </c>
      <c r="D807" s="13">
        <v>119670</v>
      </c>
      <c r="E807" s="13"/>
      <c r="F807" s="10">
        <f>D807+E807</f>
        <v>119670</v>
      </c>
      <c r="G807" s="13">
        <v>120795</v>
      </c>
      <c r="H807" s="13">
        <v>120795</v>
      </c>
      <c r="I807" s="13"/>
      <c r="J807" s="10">
        <f>H807+I807</f>
        <v>120795</v>
      </c>
      <c r="K807" s="13">
        <v>124419</v>
      </c>
      <c r="L807" s="13">
        <v>124419</v>
      </c>
      <c r="M807" s="13">
        <v>125236</v>
      </c>
      <c r="N807" s="13">
        <v>125236</v>
      </c>
      <c r="O807" s="13"/>
      <c r="P807" s="13"/>
      <c r="Q807" s="10">
        <f>N807-L807</f>
        <v>817</v>
      </c>
      <c r="R807" s="11">
        <f>Q807/L807</f>
        <v>0.006566521190493413</v>
      </c>
    </row>
    <row r="808" spans="2:18" ht="12.75">
      <c r="B808" s="28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s="16" customFormat="1" ht="12.75">
      <c r="A809" s="16" t="s">
        <v>681</v>
      </c>
      <c r="B809" s="50" t="s">
        <v>682</v>
      </c>
      <c r="C809" s="18">
        <f aca="true" t="shared" si="286" ref="C809:Q809">SUM(C807+C805+C795+C782+C772+C755)</f>
        <v>2362588</v>
      </c>
      <c r="D809" s="18">
        <f t="shared" si="286"/>
        <v>2370458</v>
      </c>
      <c r="E809" s="18">
        <f t="shared" si="286"/>
        <v>0</v>
      </c>
      <c r="F809" s="18">
        <f t="shared" si="286"/>
        <v>2370458</v>
      </c>
      <c r="G809" s="18">
        <f t="shared" si="286"/>
        <v>2275396</v>
      </c>
      <c r="H809" s="18">
        <f t="shared" si="286"/>
        <v>2275396</v>
      </c>
      <c r="I809" s="18">
        <f t="shared" si="286"/>
        <v>0</v>
      </c>
      <c r="J809" s="18">
        <f t="shared" si="286"/>
        <v>2275396</v>
      </c>
      <c r="K809" s="18">
        <f>SUM(K807+K805+K795+K782+K772+K755)</f>
        <v>2414573</v>
      </c>
      <c r="L809" s="18">
        <f>SUM(L807+L805+L795+L782+L772+L755)</f>
        <v>2304334</v>
      </c>
      <c r="M809" s="18">
        <f>SUM(M807+M805+M795+M782+M772+M755)</f>
        <v>2142568.83</v>
      </c>
      <c r="N809" s="18">
        <f>SUM(N807+N805+N795+N782+N772+N755)</f>
        <v>2142568.83</v>
      </c>
      <c r="O809" s="18"/>
      <c r="P809" s="18"/>
      <c r="Q809" s="18">
        <f t="shared" si="286"/>
        <v>-161765.16999999998</v>
      </c>
      <c r="R809" s="19">
        <f>Q809/L809</f>
        <v>-0.07020040063636608</v>
      </c>
    </row>
    <row r="810" spans="3:18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2:18" ht="12.75">
      <c r="B811" s="8" t="s">
        <v>683</v>
      </c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</row>
    <row r="812" spans="3:18" ht="12.75"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44"/>
      <c r="R812" s="44"/>
    </row>
    <row r="813" spans="3:18" ht="12.75">
      <c r="C813" s="44"/>
      <c r="D813" s="44"/>
      <c r="E813" s="44"/>
      <c r="F813" s="44"/>
      <c r="G813" s="44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44"/>
    </row>
    <row r="814" spans="1:18" ht="12.75">
      <c r="A814" t="s">
        <v>684</v>
      </c>
      <c r="B814" t="s">
        <v>684</v>
      </c>
      <c r="C814" s="9" t="e">
        <f aca="true" t="shared" si="287" ref="C814:R814">+C10+C28+C72+C96+C122+C152+C176+C199+C217+C254+C303+C336+C368+C388+C408+C429+C467+C506+C519+C539+C567+C596+C616</f>
        <v>#REF!</v>
      </c>
      <c r="D814" s="9">
        <f t="shared" si="287"/>
        <v>4660234.66</v>
      </c>
      <c r="E814" s="9">
        <f t="shared" si="287"/>
        <v>-5130</v>
      </c>
      <c r="F814" s="9">
        <f t="shared" si="287"/>
        <v>4653004.66</v>
      </c>
      <c r="G814" s="9">
        <f t="shared" si="287"/>
        <v>4828043</v>
      </c>
      <c r="H814" s="9">
        <f t="shared" si="287"/>
        <v>4593796.5</v>
      </c>
      <c r="I814" s="9">
        <f t="shared" si="287"/>
        <v>0</v>
      </c>
      <c r="J814" s="9">
        <f t="shared" si="287"/>
        <v>4593796.5</v>
      </c>
      <c r="K814" s="9">
        <f t="shared" si="287"/>
        <v>5138455.305</v>
      </c>
      <c r="L814" s="9">
        <f t="shared" si="287"/>
        <v>4784777.505</v>
      </c>
      <c r="M814" s="9">
        <f t="shared" si="287"/>
        <v>5272823.305</v>
      </c>
      <c r="N814" s="9">
        <f t="shared" si="287"/>
        <v>5035290.655</v>
      </c>
      <c r="O814" s="9">
        <f t="shared" si="287"/>
        <v>-32170</v>
      </c>
      <c r="P814" s="9">
        <f t="shared" si="287"/>
        <v>5003120.655</v>
      </c>
      <c r="Q814" s="9">
        <f t="shared" si="287"/>
        <v>218343.15000000002</v>
      </c>
      <c r="R814" s="9" t="e">
        <f t="shared" si="287"/>
        <v>#DIV/0!</v>
      </c>
    </row>
    <row r="815" spans="2:19" ht="12.75">
      <c r="B815" t="s">
        <v>685</v>
      </c>
      <c r="C815" s="9">
        <f>+C13+C17+C36+C39+C43+C55+C58+C76+C79+C83+C103+C107+C111+C128+C131+C136+C158+C161+C165+C185+C188+C192+C205+C208+C220+C223+C271+C277+C282+C317+C322+C326+C340+C346+C349+C372+C376+C380+C394+C398+C401+C412+C416+C419+C432+C436+C439+C481+C491+C495+C511+C526+C530+C546+C550+C554+C578+C582+C586+C599+C603+C624+C627+C631</f>
        <v>1590584</v>
      </c>
      <c r="D815" s="9">
        <f>+D13+D17+D36+D39+D43+D55+D58+D76+D79+D83+D103+D107+D111+D128+D131+D136+D158+D161+D165+D185+D188+D192+D205+D208+D220+D223+D271+D277+D282+D317+D322+D326+D340+D346+D349+D372+D376+D380+D394+D398+D401+D412+D416+D419+D432+D436+D439+D481+D491+D495+D511+D526+D530+D546+D550+D554+D578+D582+D586+D599+D603+D624+D627+D631</f>
        <v>1401544</v>
      </c>
      <c r="E815" s="9">
        <f>+E13+E17+E36+E39+E43+E55+E58+E76+E79+E83+E103+E107+E111+E128+E131+E136+E158+E161+E165+E185+E188+E192+E205+E208+E220+E223+E271+E277+E282+E317+E322+E326+E340+E346+E349+E372+E376+E380+E394+E398+E401+E412+E416+E419+E432+E436+E439+E481+E491+E495+E511+E526+E530+E546+E550+E554+E578+E582+E586+E599+E603+E624+E627+E631</f>
        <v>-44620</v>
      </c>
      <c r="F815" s="9">
        <f>+F13+F17+F36+F39+F43+F55+F58+F76+F79+F83+F103+F107+F111+F128+F131+F136+F158+F161+F165+F185+F188+F192+F205+F208+F220+F223+F271+F277+F282+F317+F322+F326+F340+F346+F349+F372+F376+F380+F394+F398+F401+F412+F416+F419+F432+F436+F439+F481+F491+F495+F511+F526+F530+F546+F550+F554+F578+F582+F586+F599+F603+F624+F627+F631</f>
        <v>1356924</v>
      </c>
      <c r="G815" s="9">
        <f>+G13+G17+G36+G39+G43+G55+G58+G76+G79+G83+G103+G107+G111+G128+G131+G136+G158+G161+G165+G185+G188+G192+G202+G205+G208+G220+G223+G271+G277+G282+G317+G322+G326+G340+G346+G349+G372+G376+G380+G394+G398+G401+G412+G416+G419+G432+G436+G439+G481+G491+G495+G511+G526+G530+G546+G550+G554+G578+G582+G586+G599+G603+G624+G627+G631</f>
        <v>1580820</v>
      </c>
      <c r="H815" s="9">
        <f>+H13+H17+H36+H39+H43+H55+H58+H76+H79+H83+H103+H107+H111+H128+H131+H136+H158+H161+H165+H185+H188+H192+H202+H205+H208+H220+H223+H271+H277+H282+H317+H322+H326+H340+H346+H349+H372+H376+H380+H394+H398+H401+H412+H416+H419+H432+H436+H439+H481+H491+H495+H511+H526+H530+H546+H550+H554+H578+H582+H586+H599+H603+H624+H627+H631</f>
        <v>1489535</v>
      </c>
      <c r="I815" s="9">
        <f>+I13+I17+I36+I39+I43+I55+I58+I76+I79+I83+I103+I107+I111+I128+I131+I136+I158+I161+I165+I185+I188+I192+I202+I205+I208+I220+I223+I271+I277+I282+I317+I322+I326+I340+I346+I349+I372+I376+I380+I394+I398+I401+I412+I416+I419+I432+I436+I439+I481+I491+I495+I511+I526+I530+I546+I550+I554+I578+I582+I586+I599+I603+I624+I627+I631</f>
        <v>-9100</v>
      </c>
      <c r="J815" s="9">
        <f>+J13+J17+J36+J39+J43+J55+J58+J76+J79+J83+J103+J107+J111+J128+J131+J136+J158+J161+J165+J185+J188+J192+J202+J205+J208+J220+J223+J271+J277+J282+J317+J322+J326+J340+J346+J372+J376+J380+J394+J398+J401+J412+J416+J419+J432+J436+J439+J481+J491+J495+J511+J526+J530+J546+J550+J554+J578+J582+J586+J599+J603+J624+J627+J631</f>
        <v>1480435</v>
      </c>
      <c r="K815" s="9">
        <f>+K13+K17+K36+K39+K43+K55+K58+K76+K79+K83+K103+K107+K111+K128+K131+K136+K158+K161+K165+K185+K188+K192+K202+K205+K208+K220+K223+K271+K277+K282+K317+K322+K326+K340+K346+K349+K372+K376+K380+K394+K398+K401+K412+K416+K419+K432+K436+K439+K481+K491+K495+K511+K526+K530+K546+K550+K554+K578+K582+K586+K599+K603+K624+K627+K631</f>
        <v>1617965</v>
      </c>
      <c r="L815" s="9">
        <f aca="true" t="shared" si="288" ref="L815:Q815">+L13+L17+L36+L39+L43+L55+L58+L76+L79+L83+L103+L107+L111+L128+L131+L136+L158+L161+L165+L185+L188+L192+L202+L205+L208+L220+L223+L271+L277+L282+L317+L322+L326+L340+L346+L372+L376+L380+L394+L398+L401+L412+L416+L419+L432+L436+L439+L481+L491+L495+L511+L526+L530+L546+L550+L554+L578+L582+L586+L599+L603+L624+L627+L631</f>
        <v>1535548</v>
      </c>
      <c r="M815" s="9">
        <f t="shared" si="288"/>
        <v>1706132</v>
      </c>
      <c r="N815" s="9">
        <f t="shared" si="288"/>
        <v>1561292</v>
      </c>
      <c r="O815" s="9">
        <f t="shared" si="288"/>
        <v>6000</v>
      </c>
      <c r="P815" s="9">
        <f t="shared" si="288"/>
        <v>1567292</v>
      </c>
      <c r="Q815" s="9">
        <f t="shared" si="288"/>
        <v>31744</v>
      </c>
      <c r="R815" s="9" t="e">
        <f>+R13+R17+R36+R39+R43+R55+R58+R76+R79+R83+R103+R107+R111+R128+R131+R136+R158+R161+R165+R185+R188+R192+R205+R208+R220+R223+R271+R277+R282+R317+R322+R326+R340+R346+R349+R372+R376+R380+R394+R398+R401+R412+R416+R419+R432+R436+R439+R481+R491+R495+R511+R526+R530+R546+R550+R554+R578+R582+R586+R599+R603+R624+R627+R631</f>
        <v>#DIV/0!</v>
      </c>
      <c r="S815" s="9">
        <f>J815-L815</f>
        <v>-55113</v>
      </c>
    </row>
    <row r="816" spans="2:18" ht="12.75">
      <c r="B816" t="s">
        <v>686</v>
      </c>
      <c r="C816" s="9">
        <f>C61+C285+C329+C499+C589</f>
        <v>201525.59</v>
      </c>
      <c r="D816" s="9">
        <f>D61+D285+D329+D499+D589</f>
        <v>105247</v>
      </c>
      <c r="E816" s="9">
        <f>E61+E285+E329+E499+E589</f>
        <v>0</v>
      </c>
      <c r="F816" s="9">
        <f>F61+F285+F329+F499+F589</f>
        <v>105247</v>
      </c>
      <c r="G816" s="9">
        <f aca="true" t="shared" si="289" ref="G816:P816">G61+G285+G329+G499+G589+G421</f>
        <v>149446</v>
      </c>
      <c r="H816" s="9">
        <f t="shared" si="289"/>
        <v>120052</v>
      </c>
      <c r="I816" s="9">
        <f t="shared" si="289"/>
        <v>0</v>
      </c>
      <c r="J816" s="9">
        <f t="shared" si="289"/>
        <v>120052</v>
      </c>
      <c r="K816" s="9">
        <f t="shared" si="289"/>
        <v>165612</v>
      </c>
      <c r="L816" s="9">
        <f t="shared" si="289"/>
        <v>140612</v>
      </c>
      <c r="M816" s="9">
        <f t="shared" si="289"/>
        <v>199289</v>
      </c>
      <c r="N816" s="9">
        <f t="shared" si="289"/>
        <v>105488</v>
      </c>
      <c r="O816" s="9">
        <f t="shared" si="289"/>
        <v>-32407</v>
      </c>
      <c r="P816" s="9">
        <f t="shared" si="289"/>
        <v>73081</v>
      </c>
      <c r="Q816" s="9">
        <f>Q61+Q285+Q329+Q349+Q422+Q499+Q589</f>
        <v>-67531</v>
      </c>
      <c r="R816" s="9" t="e">
        <f>R61+R285+R329+R499+R589</f>
        <v>#DIV/0!</v>
      </c>
    </row>
    <row r="817" spans="2:18" ht="12.75">
      <c r="B817" t="s">
        <v>553</v>
      </c>
      <c r="C817" s="9">
        <f aca="true" t="shared" si="290" ref="C817:R817">+C19+C45+C63+C85+C113+C138+C167+C194+C210+C225+C501+C513+C532+C556+C591+C605++C633+C646+C647+C648+C654+C656</f>
        <v>3203610.4699999997</v>
      </c>
      <c r="D817" s="9">
        <f t="shared" si="290"/>
        <v>2902528.7199999997</v>
      </c>
      <c r="E817" s="9">
        <f t="shared" si="290"/>
        <v>-25350</v>
      </c>
      <c r="F817" s="9">
        <f t="shared" si="290"/>
        <v>2875078.7199999997</v>
      </c>
      <c r="G817" s="9">
        <f t="shared" si="290"/>
        <v>3167415</v>
      </c>
      <c r="H817" s="9">
        <f t="shared" si="290"/>
        <v>2990374</v>
      </c>
      <c r="I817" s="9">
        <f t="shared" si="290"/>
        <v>-29100</v>
      </c>
      <c r="J817" s="9">
        <f t="shared" si="290"/>
        <v>2961274</v>
      </c>
      <c r="K817" s="9">
        <f t="shared" si="290"/>
        <v>3215416.3049999997</v>
      </c>
      <c r="L817" s="9">
        <f t="shared" si="290"/>
        <v>3111366.505</v>
      </c>
      <c r="M817" s="9">
        <f t="shared" si="290"/>
        <v>3225036.3049999997</v>
      </c>
      <c r="N817" s="9">
        <f t="shared" si="290"/>
        <v>3108817.1799999997</v>
      </c>
      <c r="O817" s="9">
        <f t="shared" si="290"/>
        <v>-13570</v>
      </c>
      <c r="P817" s="9">
        <f t="shared" si="290"/>
        <v>3095247.1799999997</v>
      </c>
      <c r="Q817" s="9">
        <f t="shared" si="290"/>
        <v>-16119.32499999999</v>
      </c>
      <c r="R817" s="9" t="e">
        <f t="shared" si="290"/>
        <v>#DIV/0!</v>
      </c>
    </row>
    <row r="818" spans="2:18" ht="12.75">
      <c r="B818" t="s">
        <v>687</v>
      </c>
      <c r="C818" s="9" t="e">
        <f aca="true" t="shared" si="291" ref="C818:R818">C287+C331+C351+C382+C403+C424+C441</f>
        <v>#REF!</v>
      </c>
      <c r="D818" s="9">
        <f t="shared" si="291"/>
        <v>3392496.94</v>
      </c>
      <c r="E818" s="9">
        <f t="shared" si="291"/>
        <v>-12400</v>
      </c>
      <c r="F818" s="9">
        <f t="shared" si="291"/>
        <v>3380096.94</v>
      </c>
      <c r="G818" s="9">
        <f t="shared" si="291"/>
        <v>3520894</v>
      </c>
      <c r="H818" s="9">
        <f t="shared" si="291"/>
        <v>3348009.5</v>
      </c>
      <c r="I818" s="9">
        <f t="shared" si="291"/>
        <v>0</v>
      </c>
      <c r="J818" s="9">
        <f t="shared" si="291"/>
        <v>3348009.5</v>
      </c>
      <c r="K818" s="9">
        <f t="shared" si="291"/>
        <v>3841616</v>
      </c>
      <c r="L818" s="9">
        <f t="shared" si="291"/>
        <v>3464571</v>
      </c>
      <c r="M818" s="9">
        <f>M287+M331+M351+M382+M403+M424+M441</f>
        <v>4078208</v>
      </c>
      <c r="N818" s="9">
        <f>N287+N331+N351+N382+N403+N424+N441</f>
        <v>3742253.475</v>
      </c>
      <c r="O818" s="9">
        <f>O287+O331+O351+O382+O403+O424+O441</f>
        <v>-45007</v>
      </c>
      <c r="P818" s="9">
        <f>P287+P331+P351+P382+P403+P424+P441</f>
        <v>3697246.475</v>
      </c>
      <c r="Q818" s="9">
        <f t="shared" si="291"/>
        <v>232675.475</v>
      </c>
      <c r="R818" s="9" t="e">
        <f t="shared" si="291"/>
        <v>#DIV/0!</v>
      </c>
    </row>
    <row r="819" spans="2:18" ht="12.75">
      <c r="B819" t="s">
        <v>688</v>
      </c>
      <c r="C819" s="9">
        <f aca="true" t="shared" si="292" ref="C819:R819">C446+C450</f>
        <v>9385695</v>
      </c>
      <c r="D819" s="9">
        <f t="shared" si="292"/>
        <v>9334286</v>
      </c>
      <c r="E819" s="9">
        <f t="shared" si="292"/>
        <v>0</v>
      </c>
      <c r="F819" s="9">
        <f t="shared" si="292"/>
        <v>9334286</v>
      </c>
      <c r="G819" s="9">
        <f t="shared" si="292"/>
        <v>9675024.36</v>
      </c>
      <c r="H819" s="9">
        <f t="shared" si="292"/>
        <v>9628279</v>
      </c>
      <c r="I819" s="9">
        <f t="shared" si="292"/>
        <v>0</v>
      </c>
      <c r="J819" s="9">
        <f t="shared" si="292"/>
        <v>9628279</v>
      </c>
      <c r="K819" s="9">
        <f t="shared" si="292"/>
        <v>10067790</v>
      </c>
      <c r="L819" s="9">
        <f t="shared" si="292"/>
        <v>9861411</v>
      </c>
      <c r="M819" s="9">
        <f>M446+M450</f>
        <v>10275629.5</v>
      </c>
      <c r="N819" s="9">
        <f>N446+N450</f>
        <v>10149988</v>
      </c>
      <c r="O819" s="9">
        <f>O446+O450</f>
        <v>0</v>
      </c>
      <c r="P819" s="9">
        <f>P446+P450</f>
        <v>10149988</v>
      </c>
      <c r="Q819" s="9">
        <f t="shared" si="292"/>
        <v>288577</v>
      </c>
      <c r="R819" s="9">
        <f t="shared" si="292"/>
        <v>0.029124796948244505</v>
      </c>
    </row>
    <row r="820" spans="2:18" ht="12.75">
      <c r="B820" t="s">
        <v>689</v>
      </c>
      <c r="C820" s="9">
        <f aca="true" t="shared" si="293" ref="C820:R820">C645</f>
        <v>711610.79</v>
      </c>
      <c r="D820" s="9">
        <f t="shared" si="293"/>
        <v>699025</v>
      </c>
      <c r="E820" s="9">
        <f t="shared" si="293"/>
        <v>0</v>
      </c>
      <c r="F820" s="9">
        <f t="shared" si="293"/>
        <v>699025</v>
      </c>
      <c r="G820" s="9">
        <f t="shared" si="293"/>
        <v>861649</v>
      </c>
      <c r="H820" s="9">
        <f t="shared" si="293"/>
        <v>846340.7</v>
      </c>
      <c r="I820" s="9">
        <f t="shared" si="293"/>
        <v>0</v>
      </c>
      <c r="J820" s="9">
        <f t="shared" si="293"/>
        <v>846340.7</v>
      </c>
      <c r="K820" s="9">
        <f t="shared" si="293"/>
        <v>911201</v>
      </c>
      <c r="L820" s="9">
        <f t="shared" si="293"/>
        <v>891276</v>
      </c>
      <c r="M820" s="9">
        <f>M645</f>
        <v>935078</v>
      </c>
      <c r="N820" s="9">
        <f>N645</f>
        <v>935078</v>
      </c>
      <c r="O820" s="9">
        <f>O645</f>
        <v>0</v>
      </c>
      <c r="P820" s="9">
        <f>P645</f>
        <v>935078</v>
      </c>
      <c r="Q820" s="9">
        <f t="shared" si="293"/>
        <v>43802</v>
      </c>
      <c r="R820" s="9">
        <f t="shared" si="293"/>
        <v>0.04914527037640417</v>
      </c>
    </row>
    <row r="821" spans="2:18" ht="12.75">
      <c r="B821" t="s">
        <v>668</v>
      </c>
      <c r="C821" s="9">
        <f aca="true" t="shared" si="294" ref="C821:R821">C651+C652+C650+C649+C653</f>
        <v>1086587</v>
      </c>
      <c r="D821" s="9">
        <f t="shared" si="294"/>
        <v>1039238</v>
      </c>
      <c r="E821" s="9">
        <f t="shared" si="294"/>
        <v>-25000</v>
      </c>
      <c r="F821" s="9">
        <f t="shared" si="294"/>
        <v>1014238</v>
      </c>
      <c r="G821" s="9">
        <f t="shared" si="294"/>
        <v>1163123.9168</v>
      </c>
      <c r="H821" s="9">
        <f t="shared" si="294"/>
        <v>1114791</v>
      </c>
      <c r="I821" s="9">
        <f t="shared" si="294"/>
        <v>-81100</v>
      </c>
      <c r="J821" s="9">
        <f t="shared" si="294"/>
        <v>1033691</v>
      </c>
      <c r="K821" s="9">
        <f t="shared" si="294"/>
        <v>1209376</v>
      </c>
      <c r="L821" s="9">
        <f t="shared" si="294"/>
        <v>1230776</v>
      </c>
      <c r="M821" s="9">
        <f>M651+M652+M650+M649+M653</f>
        <v>1321130.32</v>
      </c>
      <c r="N821" s="9">
        <f>N651+N652+N650+N649+N653</f>
        <v>1226000</v>
      </c>
      <c r="O821" s="9">
        <f>O651+O652+O650+O649+O653</f>
        <v>-3600</v>
      </c>
      <c r="P821" s="9">
        <f>P651+P652+P650+P649+P653</f>
        <v>1222400</v>
      </c>
      <c r="Q821" s="9">
        <f t="shared" si="294"/>
        <v>-8376</v>
      </c>
      <c r="R821" s="9" t="e">
        <f t="shared" si="294"/>
        <v>#DIV/0!</v>
      </c>
    </row>
    <row r="822" spans="2:18" ht="12.75">
      <c r="B822" t="s">
        <v>490</v>
      </c>
      <c r="C822" s="9">
        <f aca="true" t="shared" si="295" ref="C822:R822">C642</f>
        <v>1088255.97</v>
      </c>
      <c r="D822" s="9">
        <f t="shared" si="295"/>
        <v>1101857</v>
      </c>
      <c r="E822" s="9">
        <f t="shared" si="295"/>
        <v>50000</v>
      </c>
      <c r="F822" s="9">
        <f t="shared" si="295"/>
        <v>1151857</v>
      </c>
      <c r="G822" s="9">
        <f t="shared" si="295"/>
        <v>1108318</v>
      </c>
      <c r="H822" s="9">
        <f t="shared" si="295"/>
        <v>1108318</v>
      </c>
      <c r="I822" s="9">
        <f t="shared" si="295"/>
        <v>-79014</v>
      </c>
      <c r="J822" s="9">
        <f t="shared" si="295"/>
        <v>1029304</v>
      </c>
      <c r="K822" s="9">
        <f t="shared" si="295"/>
        <v>999530</v>
      </c>
      <c r="L822" s="9">
        <f t="shared" si="295"/>
        <v>987549</v>
      </c>
      <c r="M822" s="9">
        <f>M642</f>
        <v>965306</v>
      </c>
      <c r="N822" s="9">
        <f>N642</f>
        <v>965306</v>
      </c>
      <c r="O822" s="9">
        <f>O642</f>
        <v>0</v>
      </c>
      <c r="P822" s="9">
        <f>P642</f>
        <v>965306</v>
      </c>
      <c r="Q822" s="9">
        <f t="shared" si="295"/>
        <v>-22243</v>
      </c>
      <c r="R822" s="9">
        <f t="shared" si="295"/>
        <v>-0.022523439343262966</v>
      </c>
    </row>
    <row r="823" spans="3:18" ht="12.75">
      <c r="C823" s="12" t="e">
        <f aca="true" t="shared" si="296" ref="C823:R823">SUM(C817:C822)</f>
        <v>#REF!</v>
      </c>
      <c r="D823" s="12">
        <f t="shared" si="296"/>
        <v>18469431.66</v>
      </c>
      <c r="E823" s="12">
        <f t="shared" si="296"/>
        <v>-12750</v>
      </c>
      <c r="F823" s="12">
        <f t="shared" si="296"/>
        <v>18454581.66</v>
      </c>
      <c r="G823" s="12">
        <f t="shared" si="296"/>
        <v>19496424.2768</v>
      </c>
      <c r="H823" s="12">
        <f t="shared" si="296"/>
        <v>19036112.2</v>
      </c>
      <c r="I823" s="12">
        <f t="shared" si="296"/>
        <v>-189214</v>
      </c>
      <c r="J823" s="12">
        <f t="shared" si="296"/>
        <v>18846898.2</v>
      </c>
      <c r="K823" s="12">
        <f t="shared" si="296"/>
        <v>20244929.305</v>
      </c>
      <c r="L823" s="12">
        <f t="shared" si="296"/>
        <v>19546949.505</v>
      </c>
      <c r="M823" s="12">
        <f>SUM(M817:M822)</f>
        <v>20800388.125</v>
      </c>
      <c r="N823" s="12">
        <f>SUM(N817:N822)</f>
        <v>20127442.655</v>
      </c>
      <c r="O823" s="12">
        <f>SUM(O817:O822)</f>
        <v>-62177</v>
      </c>
      <c r="P823" s="12">
        <f>SUM(P817:P822)</f>
        <v>20065265.655</v>
      </c>
      <c r="Q823" s="12">
        <f t="shared" si="296"/>
        <v>518316.15</v>
      </c>
      <c r="R823" s="12" t="e">
        <f t="shared" si="296"/>
        <v>#DIV/0!</v>
      </c>
    </row>
    <row r="824" spans="3:18" ht="12.75">
      <c r="C824" s="9" t="e">
        <f aca="true" t="shared" si="297" ref="C824:R824">C659</f>
        <v>#REF!</v>
      </c>
      <c r="D824" s="9">
        <f t="shared" si="297"/>
        <v>18469431.66</v>
      </c>
      <c r="E824" s="9">
        <f t="shared" si="297"/>
        <v>-12750</v>
      </c>
      <c r="F824" s="9">
        <f t="shared" si="297"/>
        <v>18454581.66</v>
      </c>
      <c r="G824" s="9">
        <f t="shared" si="297"/>
        <v>19496424.2768</v>
      </c>
      <c r="H824" s="9">
        <f t="shared" si="297"/>
        <v>19036112.2</v>
      </c>
      <c r="I824" s="9">
        <f t="shared" si="297"/>
        <v>-189214</v>
      </c>
      <c r="J824" s="9">
        <f t="shared" si="297"/>
        <v>18846898.2</v>
      </c>
      <c r="K824" s="9">
        <f t="shared" si="297"/>
        <v>20244929.305</v>
      </c>
      <c r="L824" s="9">
        <f t="shared" si="297"/>
        <v>19546949.505</v>
      </c>
      <c r="M824" s="9">
        <f>M659</f>
        <v>20800388.125</v>
      </c>
      <c r="N824" s="9">
        <f>N659</f>
        <v>20127442.655</v>
      </c>
      <c r="O824" s="9">
        <f>O659</f>
        <v>-62177</v>
      </c>
      <c r="P824" s="9">
        <f>P659</f>
        <v>20065265.655</v>
      </c>
      <c r="Q824" s="9">
        <f t="shared" si="297"/>
        <v>518316.14999999997</v>
      </c>
      <c r="R824" s="9">
        <f t="shared" si="297"/>
        <v>0.026516472550738295</v>
      </c>
    </row>
    <row r="825" spans="3:18" ht="12.75">
      <c r="C825" s="9" t="e">
        <f aca="true" t="shared" si="298" ref="C825:R825">C659-C823</f>
        <v>#REF!</v>
      </c>
      <c r="D825" s="9">
        <f t="shared" si="298"/>
        <v>0</v>
      </c>
      <c r="E825" s="9">
        <f t="shared" si="298"/>
        <v>0</v>
      </c>
      <c r="F825" s="9">
        <f t="shared" si="298"/>
        <v>0</v>
      </c>
      <c r="G825" s="9">
        <f t="shared" si="298"/>
        <v>0</v>
      </c>
      <c r="H825" s="9">
        <f t="shared" si="298"/>
        <v>0</v>
      </c>
      <c r="I825" s="9">
        <f t="shared" si="298"/>
        <v>0</v>
      </c>
      <c r="J825" s="9">
        <f t="shared" si="298"/>
        <v>0</v>
      </c>
      <c r="K825" s="9">
        <f t="shared" si="298"/>
        <v>0</v>
      </c>
      <c r="L825" s="9">
        <f t="shared" si="298"/>
        <v>0</v>
      </c>
      <c r="M825" s="9">
        <f>M659-M823</f>
        <v>0</v>
      </c>
      <c r="N825" s="9">
        <f>N659-N823</f>
        <v>0</v>
      </c>
      <c r="O825" s="9">
        <f>O659-O823</f>
        <v>0</v>
      </c>
      <c r="P825" s="9">
        <f>P659-P823</f>
        <v>0</v>
      </c>
      <c r="Q825" s="9">
        <f t="shared" si="298"/>
        <v>0</v>
      </c>
      <c r="R825" s="9" t="e">
        <f t="shared" si="298"/>
        <v>#DIV/0!</v>
      </c>
    </row>
    <row r="827" ht="12.75">
      <c r="O827" s="9">
        <f>O814+O815+O816+O821</f>
        <v>-62177</v>
      </c>
    </row>
    <row r="828" ht="12.75">
      <c r="B828" t="s">
        <v>690</v>
      </c>
    </row>
    <row r="829" ht="12.75">
      <c r="B829" t="s">
        <v>383</v>
      </c>
    </row>
    <row r="830" ht="12.75">
      <c r="B830" t="s">
        <v>107</v>
      </c>
    </row>
    <row r="831" ht="12.75">
      <c r="B831" t="s">
        <v>529</v>
      </c>
    </row>
    <row r="832" ht="12.75">
      <c r="B832" t="s">
        <v>530</v>
      </c>
    </row>
    <row r="833" ht="12.75">
      <c r="B833" t="s">
        <v>531</v>
      </c>
    </row>
    <row r="834" ht="12.75">
      <c r="B834" s="8" t="s">
        <v>691</v>
      </c>
    </row>
    <row r="836" ht="12.75">
      <c r="B836" t="s">
        <v>691</v>
      </c>
    </row>
    <row r="851" spans="2:16" ht="12.75">
      <c r="B851" t="s">
        <v>553</v>
      </c>
      <c r="H851" s="9">
        <f>H19+H45+H63+H85+H113+H138+H167+H194+H210+H225</f>
        <v>1307966</v>
      </c>
      <c r="I851" s="9"/>
      <c r="J851" s="9"/>
      <c r="K851" s="9">
        <f>K19+K45+K63+K85+K113+K138+K167+K194+K210+K225</f>
        <v>1376614.305</v>
      </c>
      <c r="L851" s="9">
        <f>L19+L45+L63+L85+L113+L138+L167+L194+L210+L225</f>
        <v>1338541.305</v>
      </c>
      <c r="M851" s="9"/>
      <c r="N851" s="9"/>
      <c r="O851" s="9"/>
      <c r="P851" s="9"/>
    </row>
    <row r="852" spans="2:16" ht="12.75">
      <c r="B852" t="s">
        <v>687</v>
      </c>
      <c r="H852" s="9">
        <f>H287+H331+H351+H382+H403+H424</f>
        <v>3348009.5</v>
      </c>
      <c r="I852" s="9"/>
      <c r="J852" s="9"/>
      <c r="K852" s="9">
        <f>K287+K331+K351+K382+K403+K424</f>
        <v>3841616</v>
      </c>
      <c r="L852" s="9">
        <f>L287+L331+L351+L382+L403+L424</f>
        <v>3464571</v>
      </c>
      <c r="M852" s="9"/>
      <c r="N852" s="9"/>
      <c r="O852" s="9"/>
      <c r="P852" s="9"/>
    </row>
    <row r="853" spans="2:16" ht="12.75">
      <c r="B853" t="s">
        <v>357</v>
      </c>
      <c r="H853" s="9">
        <f>H452</f>
        <v>9628279</v>
      </c>
      <c r="I853" s="9"/>
      <c r="J853" s="9"/>
      <c r="K853" s="9">
        <f>K452</f>
        <v>10067790</v>
      </c>
      <c r="L853" s="9">
        <f>L452</f>
        <v>9861411</v>
      </c>
      <c r="M853" s="9"/>
      <c r="N853" s="9"/>
      <c r="O853" s="9"/>
      <c r="P853" s="9"/>
    </row>
    <row r="854" spans="2:16" ht="12.75">
      <c r="B854" t="s">
        <v>692</v>
      </c>
      <c r="H854" s="9">
        <f>H501+H513+H532</f>
        <v>1010870</v>
      </c>
      <c r="I854" s="9"/>
      <c r="J854" s="9"/>
      <c r="K854" s="9">
        <f>K501+K513+K532</f>
        <v>1096898</v>
      </c>
      <c r="L854" s="9">
        <f>L501+L513+L532</f>
        <v>1066250</v>
      </c>
      <c r="M854" s="9"/>
      <c r="N854" s="9"/>
      <c r="O854" s="9"/>
      <c r="P854" s="9"/>
    </row>
    <row r="855" spans="2:16" ht="12.75">
      <c r="B855" t="s">
        <v>693</v>
      </c>
      <c r="H855" s="9">
        <f>H556+H591+H605</f>
        <v>356731</v>
      </c>
      <c r="I855" s="9"/>
      <c r="J855" s="9"/>
      <c r="K855" s="9">
        <f>K556+K591+K605</f>
        <v>414836</v>
      </c>
      <c r="L855" s="9">
        <f>L556+L591+L605</f>
        <v>399607.2</v>
      </c>
      <c r="M855" s="9"/>
      <c r="N855" s="9"/>
      <c r="O855" s="9"/>
      <c r="P855" s="9"/>
    </row>
    <row r="856" spans="2:16" ht="12.75">
      <c r="B856" t="s">
        <v>694</v>
      </c>
      <c r="H856" s="9">
        <f>H633</f>
        <v>179807</v>
      </c>
      <c r="I856" s="9"/>
      <c r="J856" s="9"/>
      <c r="K856" s="9">
        <f>K633</f>
        <v>192068</v>
      </c>
      <c r="L856" s="9">
        <f>L633</f>
        <v>191968</v>
      </c>
      <c r="M856" s="9"/>
      <c r="N856" s="9"/>
      <c r="O856" s="9"/>
      <c r="P856" s="9"/>
    </row>
    <row r="857" spans="2:16" ht="12.75">
      <c r="B857" t="s">
        <v>490</v>
      </c>
      <c r="H857" s="9">
        <f>H642</f>
        <v>1108318</v>
      </c>
      <c r="I857" s="9"/>
      <c r="J857" s="9"/>
      <c r="K857" s="9">
        <f>K642</f>
        <v>999530</v>
      </c>
      <c r="L857" s="9">
        <f>L642</f>
        <v>987549</v>
      </c>
      <c r="M857" s="9"/>
      <c r="N857" s="9"/>
      <c r="O857" s="9"/>
      <c r="P857" s="9"/>
    </row>
    <row r="858" spans="2:16" ht="12.75">
      <c r="B858" s="20" t="s">
        <v>695</v>
      </c>
      <c r="H858" s="9">
        <f>H657</f>
        <v>2096131.7</v>
      </c>
      <c r="I858" s="9"/>
      <c r="J858" s="9"/>
      <c r="K858" s="9">
        <f>K657</f>
        <v>2255577</v>
      </c>
      <c r="L858" s="9">
        <f>L657</f>
        <v>2237052</v>
      </c>
      <c r="M858" s="9"/>
      <c r="N858" s="9"/>
      <c r="O858" s="9"/>
      <c r="P858" s="9"/>
    </row>
    <row r="859" spans="2:16" ht="12.75">
      <c r="B859" t="s">
        <v>696</v>
      </c>
      <c r="H859" s="9">
        <f>H667</f>
        <v>275052</v>
      </c>
      <c r="I859" s="9"/>
      <c r="J859" s="9"/>
      <c r="K859" s="9">
        <f>K667</f>
        <v>291190</v>
      </c>
      <c r="L859" s="9">
        <f>L667</f>
        <v>291190</v>
      </c>
      <c r="M859" s="9"/>
      <c r="N859" s="9"/>
      <c r="O859" s="9"/>
      <c r="P859" s="9"/>
    </row>
    <row r="860" spans="2:16" ht="12.75">
      <c r="B860" s="8" t="s">
        <v>697</v>
      </c>
      <c r="H860" s="25">
        <f>SUM(H851:H859)</f>
        <v>19311164.2</v>
      </c>
      <c r="I860" s="25"/>
      <c r="J860" s="25"/>
      <c r="K860" s="25">
        <f>SUM(K851:K859)</f>
        <v>20536119.305</v>
      </c>
      <c r="L860" s="25">
        <f>SUM(L851:L859)</f>
        <v>19838139.505</v>
      </c>
      <c r="M860" s="25"/>
      <c r="N860" s="25"/>
      <c r="O860" s="25"/>
      <c r="P860" s="25"/>
    </row>
    <row r="861" ht="12.75">
      <c r="B861" t="s">
        <v>529</v>
      </c>
    </row>
    <row r="862" spans="2:16" ht="12.75">
      <c r="B862" t="s">
        <v>530</v>
      </c>
      <c r="H862" s="9">
        <v>19211104</v>
      </c>
      <c r="I862" s="9"/>
      <c r="J862" s="9"/>
      <c r="K862" s="9">
        <v>19211104</v>
      </c>
      <c r="L862" s="9">
        <v>19211104</v>
      </c>
      <c r="M862" s="9"/>
      <c r="N862" s="9"/>
      <c r="O862" s="9"/>
      <c r="P862" s="9"/>
    </row>
    <row r="863" spans="2:16" ht="12.75">
      <c r="B863" t="s">
        <v>531</v>
      </c>
      <c r="H863" s="9">
        <f>H860-H862</f>
        <v>100060.19999999925</v>
      </c>
      <c r="I863" s="9"/>
      <c r="J863" s="9"/>
      <c r="K863" s="9">
        <f>K860-K862</f>
        <v>1325015.3049999997</v>
      </c>
      <c r="L863" s="9">
        <f>L860-L862</f>
        <v>627035.504999999</v>
      </c>
      <c r="M863" s="9"/>
      <c r="N863" s="9"/>
      <c r="O863" s="9"/>
      <c r="P863" s="9"/>
    </row>
    <row r="864" ht="12.75">
      <c r="B864" s="8" t="s">
        <v>698</v>
      </c>
    </row>
  </sheetData>
  <sheetProtection/>
  <printOptions/>
  <pageMargins left="0.34" right="0" top="0.88" bottom="0.18" header="0" footer="0.17"/>
  <pageSetup horizontalDpi="600" verticalDpi="600" orientation="landscape" scale="85" r:id="rId1"/>
  <headerFooter alignWithMargins="0">
    <oddHeader>&amp;C&amp;"Arial,Bold"&amp;14Town of Salisbury
Proposed General  Fund Revised Budget
FY 2014 
&amp;"Arial,Regular"&amp;10
</oddHeader>
    <oddFooter>&amp;C&amp;P&amp;R&amp;D &amp;T</oddFooter>
  </headerFooter>
  <rowBreaks count="2" manualBreakCount="2">
    <brk id="287" min="1" max="17" man="1"/>
    <brk id="74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Salisbury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Christine Lindberg</cp:lastModifiedBy>
  <cp:lastPrinted>2014-01-14T16:08:32Z</cp:lastPrinted>
  <dcterms:created xsi:type="dcterms:W3CDTF">2014-01-14T16:08:20Z</dcterms:created>
  <dcterms:modified xsi:type="dcterms:W3CDTF">2015-01-14T15:32:57Z</dcterms:modified>
  <cp:category/>
  <cp:version/>
  <cp:contentType/>
  <cp:contentStatus/>
</cp:coreProperties>
</file>